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azyna\OCH Grażyna\Dysk lokalny\OCH_Grażyna\6.  P L A N Y\2025_plany\"/>
    </mc:Choice>
  </mc:AlternateContent>
  <xr:revisionPtr revIDLastSave="0" documentId="13_ncr:1_{BD8E3C03-7835-4387-88DD-BDB985D3A8E2}" xr6:coauthVersionLast="47" xr6:coauthVersionMax="47" xr10:uidLastSave="{00000000-0000-0000-0000-000000000000}"/>
  <bookViews>
    <workbookView xWindow="-120" yWindow="-120" windowWidth="19440" windowHeight="15000" xr2:uid="{B44E128B-C2C1-43BE-82F9-44C53AA45EB1}"/>
  </bookViews>
  <sheets>
    <sheet name="plan 2025 wyk. 31.12" sheetId="1" r:id="rId1"/>
  </sheets>
  <definedNames>
    <definedName name="_xlnm._FilterDatabase" localSheetId="0" hidden="1">'plan 2025 wyk. 31.12'!$A$1:$D$109</definedName>
    <definedName name="_xlnm.Print_Area" localSheetId="0">'plan 2025 wyk. 31.12'!$A$1:$D$110</definedName>
    <definedName name="_xlnm.Print_Titles" localSheetId="0">'plan 2025 wyk. 31.12'!#REF!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D80" i="1"/>
  <c r="D75" i="1"/>
  <c r="D50" i="1"/>
  <c r="D17" i="1"/>
  <c r="D101" i="1"/>
  <c r="D97" i="1"/>
  <c r="D98" i="1" s="1"/>
  <c r="D93" i="1"/>
  <c r="D92" i="1"/>
  <c r="D90" i="1"/>
  <c r="D87" i="1"/>
  <c r="D88" i="1" s="1"/>
  <c r="D85" i="1"/>
  <c r="D84" i="1"/>
  <c r="D83" i="1"/>
  <c r="D82" i="1"/>
  <c r="D81" i="1"/>
  <c r="D79" i="1"/>
  <c r="D78" i="1"/>
  <c r="D76" i="1"/>
  <c r="D74" i="1"/>
  <c r="D72" i="1"/>
  <c r="D70" i="1"/>
  <c r="D71" i="1" s="1"/>
  <c r="D68" i="1"/>
  <c r="D67" i="1"/>
  <c r="D65" i="1"/>
  <c r="D64" i="1"/>
  <c r="D61" i="1"/>
  <c r="D59" i="1"/>
  <c r="D58" i="1"/>
  <c r="D56" i="1"/>
  <c r="D54" i="1"/>
  <c r="D53" i="1"/>
  <c r="D52" i="1"/>
  <c r="D51" i="1"/>
  <c r="D49" i="1"/>
  <c r="D46" i="1"/>
  <c r="D44" i="1"/>
  <c r="D41" i="1"/>
  <c r="D40" i="1"/>
  <c r="D39" i="1"/>
  <c r="D34" i="1"/>
  <c r="D33" i="1"/>
  <c r="D38" i="1" s="1"/>
  <c r="D31" i="1"/>
  <c r="D30" i="1"/>
  <c r="D28" i="1"/>
  <c r="D27" i="1"/>
  <c r="D25" i="1"/>
  <c r="D24" i="1"/>
  <c r="D23" i="1"/>
  <c r="D22" i="1"/>
  <c r="D19" i="1"/>
  <c r="D18" i="1"/>
  <c r="D16" i="1"/>
  <c r="D14" i="1"/>
  <c r="D10" i="1"/>
  <c r="D9" i="1"/>
  <c r="D6" i="1"/>
  <c r="D7" i="1" s="1"/>
  <c r="D4" i="1"/>
  <c r="D5" i="1" s="1"/>
  <c r="D43" i="1" l="1"/>
  <c r="D29" i="1"/>
  <c r="D26" i="1"/>
  <c r="D66" i="1"/>
  <c r="D47" i="1"/>
  <c r="D15" i="1"/>
  <c r="D57" i="1"/>
  <c r="D21" i="1"/>
  <c r="D69" i="1"/>
  <c r="D32" i="1"/>
  <c r="D60" i="1"/>
  <c r="D86" i="1"/>
  <c r="D10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Wioletta Matuszak</author>
  </authors>
  <commentList>
    <comment ref="D28" authorId="0" shapeId="0" xr:uid="{8A573AC2-AE89-4C3A-8065-B321A61B7452}">
      <text>
        <r>
          <rPr>
            <b/>
            <sz val="9"/>
            <color indexed="81"/>
            <rFont val="Tahoma"/>
            <family val="2"/>
            <charset val="238"/>
          </rPr>
          <t>Wioletta Matuszak:</t>
        </r>
        <r>
          <rPr>
            <sz val="9"/>
            <color indexed="81"/>
            <rFont val="Tahoma"/>
            <family val="2"/>
            <charset val="238"/>
          </rPr>
          <t xml:space="preserve">
489,05 - Ekspertyza ornitologiczna</t>
        </r>
      </text>
    </comment>
  </commentList>
</comments>
</file>

<file path=xl/sharedStrings.xml><?xml version="1.0" encoding="utf-8"?>
<sst xmlns="http://schemas.openxmlformats.org/spreadsheetml/2006/main" count="128" uniqueCount="66">
  <si>
    <t xml:space="preserve"> REALIZACJA PLANU REMONTÓW OSIEDLA CHOPINA NA  DZIEŃ 31.12.2025</t>
  </si>
  <si>
    <t>Lp.</t>
  </si>
  <si>
    <t>Adres nieruchomości</t>
  </si>
  <si>
    <t xml:space="preserve">Planowane  remonty </t>
  </si>
  <si>
    <t xml:space="preserve">Koszt robót remontowych </t>
  </si>
  <si>
    <t>Bułgarska 9</t>
  </si>
  <si>
    <t>Wymiana termozaworów</t>
  </si>
  <si>
    <t>razem</t>
  </si>
  <si>
    <t>Czeska 4</t>
  </si>
  <si>
    <t>Czeska 8</t>
  </si>
  <si>
    <t>Modernizacja altany śmietnikowej</t>
  </si>
  <si>
    <t>Wymiana pionu instalacji deszczowej kl C</t>
  </si>
  <si>
    <t xml:space="preserve">Montaż ławki </t>
  </si>
  <si>
    <t xml:space="preserve">Montaż huśtawki  metalowej </t>
  </si>
  <si>
    <t xml:space="preserve">Montaż barierki przy altanie </t>
  </si>
  <si>
    <t>Remont chodnika od strony klatek schodowych</t>
  </si>
  <si>
    <t>Węgierska 7</t>
  </si>
  <si>
    <t>Montaż stojaków rowerowych</t>
  </si>
  <si>
    <t>Montaż huśtawki</t>
  </si>
  <si>
    <t>Wieniawskiego 16-18</t>
  </si>
  <si>
    <t>Montaż słupków  blokujących wjazd</t>
  </si>
  <si>
    <t>Wymiana drzwi  wejściowych klC</t>
  </si>
  <si>
    <t>Malowanie klatek schodowych</t>
  </si>
  <si>
    <t>Wieniawskiego 20</t>
  </si>
  <si>
    <t>Docieplenie ościeży okiennych pokoi narożnych kl. B i C</t>
  </si>
  <si>
    <t>Wieniawskiego 23</t>
  </si>
  <si>
    <t>Wieniawskiego 25</t>
  </si>
  <si>
    <t>Malowanie korytarzy  piwniicznych i pom. Ogólnego użytku</t>
  </si>
  <si>
    <t>Montaż stojaka</t>
  </si>
  <si>
    <t>Oświetlenie altany śmietnikowej</t>
  </si>
  <si>
    <t>Wieniawskiego 27</t>
  </si>
  <si>
    <t>Projekt na wymiane poziomów inst. Kanalizacyjnej</t>
  </si>
  <si>
    <t>Wymiana poziomów inst. Kanalizacyjnej</t>
  </si>
  <si>
    <t>Doposażenie placu zabaw</t>
  </si>
  <si>
    <t>Wieniawskiego 29</t>
  </si>
  <si>
    <t>Wieniawskiego 30</t>
  </si>
  <si>
    <t>Wymiana pionu  inst.kanalizacyjnej kl E</t>
  </si>
  <si>
    <t>Wymiana odcinka poziomu kan.</t>
  </si>
  <si>
    <t>Wymiana okienek piwnicznych</t>
  </si>
  <si>
    <t>Wieniawskiego 31</t>
  </si>
  <si>
    <t>Remont balkonów  (30 szt.) z malowaniem elewacji</t>
  </si>
  <si>
    <t>Chopina 31</t>
  </si>
  <si>
    <t>Montaż daszków  nad balkonami ostatnie piętro</t>
  </si>
  <si>
    <t>Wymiana rury spustowej</t>
  </si>
  <si>
    <t>Chopina 33</t>
  </si>
  <si>
    <t>Montaż stojaka rowerowego</t>
  </si>
  <si>
    <t>Chopina 46</t>
  </si>
  <si>
    <t>Malowanie korytarza po pożarze</t>
  </si>
  <si>
    <t>Wymiana okna piwnicznego</t>
  </si>
  <si>
    <t>Chopina 48</t>
  </si>
  <si>
    <t>Chopina 50</t>
  </si>
  <si>
    <t>Remont balkonów</t>
  </si>
  <si>
    <t>Chopina 52</t>
  </si>
  <si>
    <t>Nowakowskiego 1</t>
  </si>
  <si>
    <t>Nowakowskiego 3</t>
  </si>
  <si>
    <t>Wymina wywiewki</t>
  </si>
  <si>
    <t>Nowakowskiego 4</t>
  </si>
  <si>
    <t>Montaż turbowentów</t>
  </si>
  <si>
    <t>Nowakowskiego 5</t>
  </si>
  <si>
    <t>Wymiana drzwi wejściowych kl A</t>
  </si>
  <si>
    <t>Inne</t>
  </si>
  <si>
    <t>Montaż  stojaków rowerowych i wymiana ławek</t>
  </si>
  <si>
    <t>Wprowadzanie organizacji ruchu na osiedlu</t>
  </si>
  <si>
    <t>RAZEM</t>
  </si>
  <si>
    <t>Sporządziła:</t>
  </si>
  <si>
    <t>Wioletta Matuszak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</si>
</sst>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</font>
    <font>
      <sz val="10"/>
      <name val="Arial CE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name val="Arial"/>
      <family val="2"/>
      <charset val="238"/>
    </font>
    <font>
      <sz val="8"/>
      <color theme="1"/>
      <name val="Arial CE"/>
      <charset val="238"/>
    </font>
    <font>
      <sz val="10"/>
      <color rgb="FFFF0000"/>
      <name val="Arial"/>
      <family val="2"/>
      <charset val="204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0"/>
      <name val="Arial"/>
      <family val="2"/>
      <charset val="238"/>
    </font>
    <font>
      <sz val="10"/>
      <color theme="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2" xfId="2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4" borderId="0" xfId="0" applyFont="1" applyFill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5" fillId="0" borderId="4" xfId="2" applyNumberFormat="1" applyFont="1" applyBorder="1" applyAlignment="1">
      <alignment horizontal="center" vertical="center" wrapText="1"/>
    </xf>
    <xf numFmtId="4" fontId="4" fillId="4" borderId="1" xfId="5" applyNumberFormat="1" applyFont="1" applyFill="1" applyBorder="1" applyAlignment="1">
      <alignment horizontal="right" vertical="center" wrapText="1"/>
    </xf>
    <xf numFmtId="3" fontId="4" fillId="0" borderId="2" xfId="2" applyNumberFormat="1" applyFont="1" applyBorder="1" applyAlignment="1">
      <alignment vertical="center"/>
    </xf>
    <xf numFmtId="3" fontId="4" fillId="0" borderId="3" xfId="2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5" fillId="3" borderId="1" xfId="8" applyNumberFormat="1" applyFont="1" applyFill="1" applyBorder="1" applyAlignment="1">
      <alignment horizontal="right" vertical="center" wrapText="1"/>
    </xf>
    <xf numFmtId="4" fontId="5" fillId="3" borderId="1" xfId="4" applyNumberFormat="1" applyFont="1" applyFill="1" applyBorder="1" applyAlignment="1">
      <alignment horizontal="right" vertical="center" wrapText="1"/>
    </xf>
    <xf numFmtId="4" fontId="4" fillId="4" borderId="0" xfId="0" applyNumberFormat="1" applyFont="1" applyFill="1" applyAlignment="1">
      <alignment horizontal="right" vertical="center" wrapText="1"/>
    </xf>
    <xf numFmtId="4" fontId="5" fillId="3" borderId="1" xfId="3" applyNumberFormat="1" applyFont="1" applyFill="1" applyBorder="1" applyAlignment="1">
      <alignment horizontal="right" vertical="center" wrapText="1"/>
    </xf>
    <xf numFmtId="0" fontId="4" fillId="3" borderId="1" xfId="11" applyFont="1" applyFill="1" applyBorder="1" applyAlignment="1">
      <alignment vertical="center" wrapText="1"/>
    </xf>
    <xf numFmtId="4" fontId="5" fillId="2" borderId="1" xfId="11" applyNumberFormat="1" applyFont="1" applyFill="1" applyBorder="1" applyAlignment="1">
      <alignment horizontal="right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5" fillId="3" borderId="1" xfId="12" applyNumberFormat="1" applyFont="1" applyFill="1" applyBorder="1" applyAlignment="1">
      <alignment horizontal="right" vertical="center" wrapText="1"/>
    </xf>
    <xf numFmtId="4" fontId="5" fillId="3" borderId="1" xfId="14" applyNumberFormat="1" applyFont="1" applyFill="1" applyBorder="1" applyAlignment="1">
      <alignment horizontal="right" vertical="center" wrapText="1"/>
    </xf>
    <xf numFmtId="4" fontId="5" fillId="3" borderId="1" xfId="5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3" borderId="5" xfId="15" applyNumberFormat="1" applyFont="1" applyFill="1" applyBorder="1" applyAlignment="1">
      <alignment horizontal="right" vertical="center" wrapText="1"/>
    </xf>
    <xf numFmtId="4" fontId="4" fillId="0" borderId="1" xfId="15" applyNumberFormat="1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4" fontId="5" fillId="0" borderId="2" xfId="2" applyNumberFormat="1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2" fontId="9" fillId="5" borderId="1" xfId="0" applyNumberFormat="1" applyFont="1" applyFill="1" applyBorder="1" applyAlignment="1">
      <alignment horizontal="right" vertical="center" wrapText="1"/>
    </xf>
    <xf numFmtId="4" fontId="5" fillId="6" borderId="3" xfId="0" applyNumberFormat="1" applyFont="1" applyFill="1" applyBorder="1" applyAlignment="1">
      <alignment horizontal="right" vertical="center"/>
    </xf>
    <xf numFmtId="4" fontId="4" fillId="0" borderId="0" xfId="2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" fontId="5" fillId="0" borderId="0" xfId="15" applyNumberFormat="1" applyFont="1" applyAlignment="1">
      <alignment horizontal="right" vertical="center" wrapText="1"/>
    </xf>
    <xf numFmtId="0" fontId="4" fillId="0" borderId="0" xfId="0" applyFont="1"/>
    <xf numFmtId="0" fontId="11" fillId="0" borderId="0" xfId="0" applyFont="1" applyAlignment="1">
      <alignment horizontal="left" vertical="center" wrapText="1"/>
    </xf>
    <xf numFmtId="4" fontId="6" fillId="0" borderId="0" xfId="15" applyNumberFormat="1" applyFont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4" fontId="6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left" wrapText="1"/>
    </xf>
    <xf numFmtId="0" fontId="14" fillId="0" borderId="0" xfId="0" applyFont="1"/>
    <xf numFmtId="0" fontId="3" fillId="0" borderId="0" xfId="0" applyFont="1" applyAlignment="1">
      <alignment wrapText="1"/>
    </xf>
    <xf numFmtId="4" fontId="17" fillId="0" borderId="1" xfId="0" applyNumberFormat="1" applyFont="1" applyBorder="1" applyAlignment="1">
      <alignment horizontal="right" vertical="center" wrapText="1"/>
    </xf>
    <xf numFmtId="4" fontId="17" fillId="4" borderId="1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 applyProtection="1">
      <alignment horizontal="right" vertical="center"/>
      <protection locked="0"/>
    </xf>
    <xf numFmtId="4" fontId="17" fillId="4" borderId="1" xfId="5" applyNumberFormat="1" applyFont="1" applyFill="1" applyBorder="1" applyAlignment="1">
      <alignment horizontal="right" vertical="center" wrapText="1"/>
    </xf>
    <xf numFmtId="4" fontId="17" fillId="0" borderId="1" xfId="7" applyNumberFormat="1" applyFont="1" applyBorder="1" applyAlignment="1">
      <alignment horizontal="right" vertical="center" wrapText="1"/>
    </xf>
    <xf numFmtId="4" fontId="17" fillId="4" borderId="1" xfId="4" applyNumberFormat="1" applyFont="1" applyFill="1" applyBorder="1" applyAlignment="1">
      <alignment horizontal="right" vertical="center" wrapText="1"/>
    </xf>
    <xf numFmtId="4" fontId="17" fillId="4" borderId="1" xfId="9" applyNumberFormat="1" applyFont="1" applyFill="1" applyBorder="1" applyAlignment="1">
      <alignment horizontal="right" vertical="center" wrapText="1"/>
    </xf>
    <xf numFmtId="4" fontId="17" fillId="0" borderId="1" xfId="3" applyNumberFormat="1" applyFont="1" applyBorder="1" applyAlignment="1">
      <alignment horizontal="right" vertical="center" wrapText="1"/>
    </xf>
    <xf numFmtId="4" fontId="17" fillId="4" borderId="1" xfId="13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4" fillId="0" borderId="7" xfId="2" applyNumberFormat="1" applyFont="1" applyBorder="1" applyAlignment="1">
      <alignment horizontal="center" vertical="center"/>
    </xf>
    <xf numFmtId="3" fontId="4" fillId="0" borderId="6" xfId="2" applyNumberFormat="1" applyFont="1" applyBorder="1" applyAlignment="1">
      <alignment horizontal="center" vertical="center"/>
    </xf>
    <xf numFmtId="14" fontId="13" fillId="0" borderId="0" xfId="0" applyNumberFormat="1" applyFont="1" applyAlignment="1">
      <alignment horizontal="left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 wrapText="1"/>
    </xf>
    <xf numFmtId="4" fontId="5" fillId="0" borderId="4" xfId="2" applyNumberFormat="1" applyFont="1" applyBorder="1" applyAlignment="1">
      <alignment horizontal="center" vertical="center" wrapText="1"/>
    </xf>
    <xf numFmtId="4" fontId="5" fillId="0" borderId="3" xfId="2" applyNumberFormat="1" applyFont="1" applyBorder="1" applyAlignment="1">
      <alignment horizontal="center" vertical="center" wrapText="1"/>
    </xf>
    <xf numFmtId="3" fontId="4" fillId="0" borderId="4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3" fontId="4" fillId="4" borderId="2" xfId="2" applyNumberFormat="1" applyFont="1" applyFill="1" applyBorder="1" applyAlignment="1">
      <alignment horizontal="center" vertical="center"/>
    </xf>
    <xf numFmtId="3" fontId="4" fillId="4" borderId="4" xfId="2" applyNumberFormat="1" applyFont="1" applyFill="1" applyBorder="1" applyAlignment="1">
      <alignment horizontal="center" vertical="center"/>
    </xf>
    <xf numFmtId="3" fontId="4" fillId="4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6">
    <cellStyle name="Normalny" xfId="0" builtinId="0"/>
    <cellStyle name="Normalny 10_OCH_WYKONANIE PLANU REMONTÓW_na 31.12.2013" xfId="11" xr:uid="{8A32CEBC-DDB2-4538-86D6-6C89D59BF4D0}"/>
    <cellStyle name="Normalny 12_OCH_WYKONANIE PLANU REMONTÓW_na 31.12.2013" xfId="12" xr:uid="{D12069AD-BF84-4FCA-BD5D-6FBF006DAC4B}"/>
    <cellStyle name="Normalny 13_OCH_WYKONANIE PLANU REMONTÓW_na 31.12.2013" xfId="13" xr:uid="{962106E1-F834-497D-9FAB-0DB07423885B}"/>
    <cellStyle name="Normalny 14_OCH_WYKONANIE PLANU REMONTÓW_na 31.12.2013" xfId="14" xr:uid="{3E25530E-CF99-452E-A975-D890DCB16969}"/>
    <cellStyle name="Normalny 15_OCH_WYKONANIE PLANU REMONTÓW_na 31.12.2013" xfId="5" xr:uid="{4021901F-9453-48A4-9DB4-9BB9357C87E1}"/>
    <cellStyle name="Normalny 16_OCH_WYKONANIE PLANU REMONTÓW_na 31.12.2013" xfId="15" xr:uid="{3A93DEC3-B207-4C55-8D5F-3A4BEA52FF1D}"/>
    <cellStyle name="Normalny 2_OCH_WYKONANIE PLANU REMONTÓW_na 31.12.2013" xfId="6" xr:uid="{CC440BE9-A3BB-48CA-865F-BECB85813CEB}"/>
    <cellStyle name="Normalny 3_OCH_WYKONANIE PLANU REMONTÓW_na 31.12.2013" xfId="7" xr:uid="{1BCC4A7C-3E1C-4A9C-906D-D55F8D455406}"/>
    <cellStyle name="Normalny 4_OCH_WYKONANIE PLANU REMONTÓW_na 31.12.2013" xfId="8" xr:uid="{845ACFDA-B47A-49DA-9087-E1A48AB9FC05}"/>
    <cellStyle name="Normalny 6_OCH_WYKONANIE PLANU REMONTÓW_na 31.12.2013" xfId="4" xr:uid="{9CB3A6C5-661D-4717-9AB3-B1AE5EC2740F}"/>
    <cellStyle name="Normalny 7_OCH_WYKONANIE PLANU REMONTÓW_na 31.12.2013" xfId="9" xr:uid="{76216B7D-BBB4-4695-8294-ECE1DE355691}"/>
    <cellStyle name="Normalny 8_OCH_WYKONANIE PLANU REMONTÓW_na 31.12.2013" xfId="3" xr:uid="{FCE375F2-F118-4893-8F94-3E143DE929BA}"/>
    <cellStyle name="Normalny 9_OCH_WYKONANIE PLANU REMONTÓW_na 31.12.2013" xfId="10" xr:uid="{6950CA02-4250-4C21-8DAB-5DC95798E772}"/>
    <cellStyle name="Normalny_2007Zał.do Uchw.gaz,prąd,śmieci,eksploat" xfId="2" xr:uid="{EE3DE4C8-197B-4973-9C88-31BFC023FC9B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1553210</xdr:colOff>
      <xdr:row>2</xdr:row>
      <xdr:rowOff>6350</xdr:rowOff>
    </xdr:from>
    <xdr:ext cx="192120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237B1C8-DA4F-423C-8E5A-3E9B7079CA26}"/>
            </a:ext>
          </a:extLst>
        </xdr:cNvPr>
        <xdr:cNvSpPr txBox="1"/>
      </xdr:nvSpPr>
      <xdr:spPr>
        <a:xfrm>
          <a:off x="3201035" y="406400"/>
          <a:ext cx="192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1550670</xdr:colOff>
      <xdr:row>2</xdr:row>
      <xdr:rowOff>19050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30B86F6-F061-4C63-8DFE-8AD4C6BF0193}"/>
            </a:ext>
          </a:extLst>
        </xdr:cNvPr>
        <xdr:cNvSpPr txBox="1"/>
      </xdr:nvSpPr>
      <xdr:spPr>
        <a:xfrm>
          <a:off x="319849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50DE-C3E4-4588-86E7-65DE0F0BB7BD}">
  <sheetPr>
    <tabColor theme="6" tint="0.59999389629810485"/>
  </sheetPr>
  <dimension ref="A1:H125"/>
  <sheetViews>
    <sheetView tabSelected="1" topLeftCell="A52" zoomScaleNormal="100" workbookViewId="0">
      <selection activeCell="D95" sqref="D95"/>
    </sheetView>
  </sheetViews>
  <sheetFormatPr defaultRowHeight="12.75" x14ac:dyDescent="0.2"/>
  <cols>
    <col min="1" max="1" width="3.85546875" style="2" customWidth="1"/>
    <col min="2" max="2" width="20.85546875" style="59" customWidth="1"/>
    <col min="3" max="3" width="27.42578125" style="2" customWidth="1"/>
    <col min="4" max="4" width="17.140625" style="2" customWidth="1"/>
    <col min="5" max="5" width="4.5703125" style="2" bestFit="1" customWidth="1"/>
    <col min="6" max="8" width="10.140625" style="2" bestFit="1" customWidth="1"/>
    <col min="9" max="253" width="9.140625" style="2"/>
    <col min="254" max="254" width="3.140625" style="2" customWidth="1"/>
    <col min="255" max="255" width="20.85546875" style="2" customWidth="1"/>
    <col min="256" max="256" width="27.42578125" style="2" customWidth="1"/>
    <col min="257" max="258" width="12.28515625" style="2" customWidth="1"/>
    <col min="259" max="259" width="12.42578125" style="2" customWidth="1"/>
    <col min="260" max="260" width="22.140625" style="2" customWidth="1"/>
    <col min="261" max="261" width="4.5703125" style="2" bestFit="1" customWidth="1"/>
    <col min="262" max="263" width="9.140625" style="2"/>
    <col min="264" max="264" width="10.140625" style="2" bestFit="1" customWidth="1"/>
    <col min="265" max="509" width="9.140625" style="2"/>
    <col min="510" max="510" width="3.140625" style="2" customWidth="1"/>
    <col min="511" max="511" width="20.85546875" style="2" customWidth="1"/>
    <col min="512" max="512" width="27.42578125" style="2" customWidth="1"/>
    <col min="513" max="514" width="12.28515625" style="2" customWidth="1"/>
    <col min="515" max="515" width="12.42578125" style="2" customWidth="1"/>
    <col min="516" max="516" width="22.140625" style="2" customWidth="1"/>
    <col min="517" max="517" width="4.5703125" style="2" bestFit="1" customWidth="1"/>
    <col min="518" max="519" width="9.140625" style="2"/>
    <col min="520" max="520" width="10.140625" style="2" bestFit="1" customWidth="1"/>
    <col min="521" max="765" width="9.140625" style="2"/>
    <col min="766" max="766" width="3.140625" style="2" customWidth="1"/>
    <col min="767" max="767" width="20.85546875" style="2" customWidth="1"/>
    <col min="768" max="768" width="27.42578125" style="2" customWidth="1"/>
    <col min="769" max="770" width="12.28515625" style="2" customWidth="1"/>
    <col min="771" max="771" width="12.42578125" style="2" customWidth="1"/>
    <col min="772" max="772" width="22.140625" style="2" customWidth="1"/>
    <col min="773" max="773" width="4.5703125" style="2" bestFit="1" customWidth="1"/>
    <col min="774" max="775" width="9.140625" style="2"/>
    <col min="776" max="776" width="10.140625" style="2" bestFit="1" customWidth="1"/>
    <col min="777" max="1021" width="9.140625" style="2"/>
    <col min="1022" max="1022" width="3.140625" style="2" customWidth="1"/>
    <col min="1023" max="1023" width="20.85546875" style="2" customWidth="1"/>
    <col min="1024" max="1024" width="27.42578125" style="2" customWidth="1"/>
    <col min="1025" max="1026" width="12.28515625" style="2" customWidth="1"/>
    <col min="1027" max="1027" width="12.42578125" style="2" customWidth="1"/>
    <col min="1028" max="1028" width="22.140625" style="2" customWidth="1"/>
    <col min="1029" max="1029" width="4.5703125" style="2" bestFit="1" customWidth="1"/>
    <col min="1030" max="1031" width="9.140625" style="2"/>
    <col min="1032" max="1032" width="10.140625" style="2" bestFit="1" customWidth="1"/>
    <col min="1033" max="1277" width="9.140625" style="2"/>
    <col min="1278" max="1278" width="3.140625" style="2" customWidth="1"/>
    <col min="1279" max="1279" width="20.85546875" style="2" customWidth="1"/>
    <col min="1280" max="1280" width="27.42578125" style="2" customWidth="1"/>
    <col min="1281" max="1282" width="12.28515625" style="2" customWidth="1"/>
    <col min="1283" max="1283" width="12.42578125" style="2" customWidth="1"/>
    <col min="1284" max="1284" width="22.140625" style="2" customWidth="1"/>
    <col min="1285" max="1285" width="4.5703125" style="2" bestFit="1" customWidth="1"/>
    <col min="1286" max="1287" width="9.140625" style="2"/>
    <col min="1288" max="1288" width="10.140625" style="2" bestFit="1" customWidth="1"/>
    <col min="1289" max="1533" width="9.140625" style="2"/>
    <col min="1534" max="1534" width="3.140625" style="2" customWidth="1"/>
    <col min="1535" max="1535" width="20.85546875" style="2" customWidth="1"/>
    <col min="1536" max="1536" width="27.42578125" style="2" customWidth="1"/>
    <col min="1537" max="1538" width="12.28515625" style="2" customWidth="1"/>
    <col min="1539" max="1539" width="12.42578125" style="2" customWidth="1"/>
    <col min="1540" max="1540" width="22.140625" style="2" customWidth="1"/>
    <col min="1541" max="1541" width="4.5703125" style="2" bestFit="1" customWidth="1"/>
    <col min="1542" max="1543" width="9.140625" style="2"/>
    <col min="1544" max="1544" width="10.140625" style="2" bestFit="1" customWidth="1"/>
    <col min="1545" max="1789" width="9.140625" style="2"/>
    <col min="1790" max="1790" width="3.140625" style="2" customWidth="1"/>
    <col min="1791" max="1791" width="20.85546875" style="2" customWidth="1"/>
    <col min="1792" max="1792" width="27.42578125" style="2" customWidth="1"/>
    <col min="1793" max="1794" width="12.28515625" style="2" customWidth="1"/>
    <col min="1795" max="1795" width="12.42578125" style="2" customWidth="1"/>
    <col min="1796" max="1796" width="22.140625" style="2" customWidth="1"/>
    <col min="1797" max="1797" width="4.5703125" style="2" bestFit="1" customWidth="1"/>
    <col min="1798" max="1799" width="9.140625" style="2"/>
    <col min="1800" max="1800" width="10.140625" style="2" bestFit="1" customWidth="1"/>
    <col min="1801" max="2045" width="9.140625" style="2"/>
    <col min="2046" max="2046" width="3.140625" style="2" customWidth="1"/>
    <col min="2047" max="2047" width="20.85546875" style="2" customWidth="1"/>
    <col min="2048" max="2048" width="27.42578125" style="2" customWidth="1"/>
    <col min="2049" max="2050" width="12.28515625" style="2" customWidth="1"/>
    <col min="2051" max="2051" width="12.42578125" style="2" customWidth="1"/>
    <col min="2052" max="2052" width="22.140625" style="2" customWidth="1"/>
    <col min="2053" max="2053" width="4.5703125" style="2" bestFit="1" customWidth="1"/>
    <col min="2054" max="2055" width="9.140625" style="2"/>
    <col min="2056" max="2056" width="10.140625" style="2" bestFit="1" customWidth="1"/>
    <col min="2057" max="2301" width="9.140625" style="2"/>
    <col min="2302" max="2302" width="3.140625" style="2" customWidth="1"/>
    <col min="2303" max="2303" width="20.85546875" style="2" customWidth="1"/>
    <col min="2304" max="2304" width="27.42578125" style="2" customWidth="1"/>
    <col min="2305" max="2306" width="12.28515625" style="2" customWidth="1"/>
    <col min="2307" max="2307" width="12.42578125" style="2" customWidth="1"/>
    <col min="2308" max="2308" width="22.140625" style="2" customWidth="1"/>
    <col min="2309" max="2309" width="4.5703125" style="2" bestFit="1" customWidth="1"/>
    <col min="2310" max="2311" width="9.140625" style="2"/>
    <col min="2312" max="2312" width="10.140625" style="2" bestFit="1" customWidth="1"/>
    <col min="2313" max="2557" width="9.140625" style="2"/>
    <col min="2558" max="2558" width="3.140625" style="2" customWidth="1"/>
    <col min="2559" max="2559" width="20.85546875" style="2" customWidth="1"/>
    <col min="2560" max="2560" width="27.42578125" style="2" customWidth="1"/>
    <col min="2561" max="2562" width="12.28515625" style="2" customWidth="1"/>
    <col min="2563" max="2563" width="12.42578125" style="2" customWidth="1"/>
    <col min="2564" max="2564" width="22.140625" style="2" customWidth="1"/>
    <col min="2565" max="2565" width="4.5703125" style="2" bestFit="1" customWidth="1"/>
    <col min="2566" max="2567" width="9.140625" style="2"/>
    <col min="2568" max="2568" width="10.140625" style="2" bestFit="1" customWidth="1"/>
    <col min="2569" max="2813" width="9.140625" style="2"/>
    <col min="2814" max="2814" width="3.140625" style="2" customWidth="1"/>
    <col min="2815" max="2815" width="20.85546875" style="2" customWidth="1"/>
    <col min="2816" max="2816" width="27.42578125" style="2" customWidth="1"/>
    <col min="2817" max="2818" width="12.28515625" style="2" customWidth="1"/>
    <col min="2819" max="2819" width="12.42578125" style="2" customWidth="1"/>
    <col min="2820" max="2820" width="22.140625" style="2" customWidth="1"/>
    <col min="2821" max="2821" width="4.5703125" style="2" bestFit="1" customWidth="1"/>
    <col min="2822" max="2823" width="9.140625" style="2"/>
    <col min="2824" max="2824" width="10.140625" style="2" bestFit="1" customWidth="1"/>
    <col min="2825" max="3069" width="9.140625" style="2"/>
    <col min="3070" max="3070" width="3.140625" style="2" customWidth="1"/>
    <col min="3071" max="3071" width="20.85546875" style="2" customWidth="1"/>
    <col min="3072" max="3072" width="27.42578125" style="2" customWidth="1"/>
    <col min="3073" max="3074" width="12.28515625" style="2" customWidth="1"/>
    <col min="3075" max="3075" width="12.42578125" style="2" customWidth="1"/>
    <col min="3076" max="3076" width="22.140625" style="2" customWidth="1"/>
    <col min="3077" max="3077" width="4.5703125" style="2" bestFit="1" customWidth="1"/>
    <col min="3078" max="3079" width="9.140625" style="2"/>
    <col min="3080" max="3080" width="10.140625" style="2" bestFit="1" customWidth="1"/>
    <col min="3081" max="3325" width="9.140625" style="2"/>
    <col min="3326" max="3326" width="3.140625" style="2" customWidth="1"/>
    <col min="3327" max="3327" width="20.85546875" style="2" customWidth="1"/>
    <col min="3328" max="3328" width="27.42578125" style="2" customWidth="1"/>
    <col min="3329" max="3330" width="12.28515625" style="2" customWidth="1"/>
    <col min="3331" max="3331" width="12.42578125" style="2" customWidth="1"/>
    <col min="3332" max="3332" width="22.140625" style="2" customWidth="1"/>
    <col min="3333" max="3333" width="4.5703125" style="2" bestFit="1" customWidth="1"/>
    <col min="3334" max="3335" width="9.140625" style="2"/>
    <col min="3336" max="3336" width="10.140625" style="2" bestFit="1" customWidth="1"/>
    <col min="3337" max="3581" width="9.140625" style="2"/>
    <col min="3582" max="3582" width="3.140625" style="2" customWidth="1"/>
    <col min="3583" max="3583" width="20.85546875" style="2" customWidth="1"/>
    <col min="3584" max="3584" width="27.42578125" style="2" customWidth="1"/>
    <col min="3585" max="3586" width="12.28515625" style="2" customWidth="1"/>
    <col min="3587" max="3587" width="12.42578125" style="2" customWidth="1"/>
    <col min="3588" max="3588" width="22.140625" style="2" customWidth="1"/>
    <col min="3589" max="3589" width="4.5703125" style="2" bestFit="1" customWidth="1"/>
    <col min="3590" max="3591" width="9.140625" style="2"/>
    <col min="3592" max="3592" width="10.140625" style="2" bestFit="1" customWidth="1"/>
    <col min="3593" max="3837" width="9.140625" style="2"/>
    <col min="3838" max="3838" width="3.140625" style="2" customWidth="1"/>
    <col min="3839" max="3839" width="20.85546875" style="2" customWidth="1"/>
    <col min="3840" max="3840" width="27.42578125" style="2" customWidth="1"/>
    <col min="3841" max="3842" width="12.28515625" style="2" customWidth="1"/>
    <col min="3843" max="3843" width="12.42578125" style="2" customWidth="1"/>
    <col min="3844" max="3844" width="22.140625" style="2" customWidth="1"/>
    <col min="3845" max="3845" width="4.5703125" style="2" bestFit="1" customWidth="1"/>
    <col min="3846" max="3847" width="9.140625" style="2"/>
    <col min="3848" max="3848" width="10.140625" style="2" bestFit="1" customWidth="1"/>
    <col min="3849" max="4093" width="9.140625" style="2"/>
    <col min="4094" max="4094" width="3.140625" style="2" customWidth="1"/>
    <col min="4095" max="4095" width="20.85546875" style="2" customWidth="1"/>
    <col min="4096" max="4096" width="27.42578125" style="2" customWidth="1"/>
    <col min="4097" max="4098" width="12.28515625" style="2" customWidth="1"/>
    <col min="4099" max="4099" width="12.42578125" style="2" customWidth="1"/>
    <col min="4100" max="4100" width="22.140625" style="2" customWidth="1"/>
    <col min="4101" max="4101" width="4.5703125" style="2" bestFit="1" customWidth="1"/>
    <col min="4102" max="4103" width="9.140625" style="2"/>
    <col min="4104" max="4104" width="10.140625" style="2" bestFit="1" customWidth="1"/>
    <col min="4105" max="4349" width="9.140625" style="2"/>
    <col min="4350" max="4350" width="3.140625" style="2" customWidth="1"/>
    <col min="4351" max="4351" width="20.85546875" style="2" customWidth="1"/>
    <col min="4352" max="4352" width="27.42578125" style="2" customWidth="1"/>
    <col min="4353" max="4354" width="12.28515625" style="2" customWidth="1"/>
    <col min="4355" max="4355" width="12.42578125" style="2" customWidth="1"/>
    <col min="4356" max="4356" width="22.140625" style="2" customWidth="1"/>
    <col min="4357" max="4357" width="4.5703125" style="2" bestFit="1" customWidth="1"/>
    <col min="4358" max="4359" width="9.140625" style="2"/>
    <col min="4360" max="4360" width="10.140625" style="2" bestFit="1" customWidth="1"/>
    <col min="4361" max="4605" width="9.140625" style="2"/>
    <col min="4606" max="4606" width="3.140625" style="2" customWidth="1"/>
    <col min="4607" max="4607" width="20.85546875" style="2" customWidth="1"/>
    <col min="4608" max="4608" width="27.42578125" style="2" customWidth="1"/>
    <col min="4609" max="4610" width="12.28515625" style="2" customWidth="1"/>
    <col min="4611" max="4611" width="12.42578125" style="2" customWidth="1"/>
    <col min="4612" max="4612" width="22.140625" style="2" customWidth="1"/>
    <col min="4613" max="4613" width="4.5703125" style="2" bestFit="1" customWidth="1"/>
    <col min="4614" max="4615" width="9.140625" style="2"/>
    <col min="4616" max="4616" width="10.140625" style="2" bestFit="1" customWidth="1"/>
    <col min="4617" max="4861" width="9.140625" style="2"/>
    <col min="4862" max="4862" width="3.140625" style="2" customWidth="1"/>
    <col min="4863" max="4863" width="20.85546875" style="2" customWidth="1"/>
    <col min="4864" max="4864" width="27.42578125" style="2" customWidth="1"/>
    <col min="4865" max="4866" width="12.28515625" style="2" customWidth="1"/>
    <col min="4867" max="4867" width="12.42578125" style="2" customWidth="1"/>
    <col min="4868" max="4868" width="22.140625" style="2" customWidth="1"/>
    <col min="4869" max="4869" width="4.5703125" style="2" bestFit="1" customWidth="1"/>
    <col min="4870" max="4871" width="9.140625" style="2"/>
    <col min="4872" max="4872" width="10.140625" style="2" bestFit="1" customWidth="1"/>
    <col min="4873" max="5117" width="9.140625" style="2"/>
    <col min="5118" max="5118" width="3.140625" style="2" customWidth="1"/>
    <col min="5119" max="5119" width="20.85546875" style="2" customWidth="1"/>
    <col min="5120" max="5120" width="27.42578125" style="2" customWidth="1"/>
    <col min="5121" max="5122" width="12.28515625" style="2" customWidth="1"/>
    <col min="5123" max="5123" width="12.42578125" style="2" customWidth="1"/>
    <col min="5124" max="5124" width="22.140625" style="2" customWidth="1"/>
    <col min="5125" max="5125" width="4.5703125" style="2" bestFit="1" customWidth="1"/>
    <col min="5126" max="5127" width="9.140625" style="2"/>
    <col min="5128" max="5128" width="10.140625" style="2" bestFit="1" customWidth="1"/>
    <col min="5129" max="5373" width="9.140625" style="2"/>
    <col min="5374" max="5374" width="3.140625" style="2" customWidth="1"/>
    <col min="5375" max="5375" width="20.85546875" style="2" customWidth="1"/>
    <col min="5376" max="5376" width="27.42578125" style="2" customWidth="1"/>
    <col min="5377" max="5378" width="12.28515625" style="2" customWidth="1"/>
    <col min="5379" max="5379" width="12.42578125" style="2" customWidth="1"/>
    <col min="5380" max="5380" width="22.140625" style="2" customWidth="1"/>
    <col min="5381" max="5381" width="4.5703125" style="2" bestFit="1" customWidth="1"/>
    <col min="5382" max="5383" width="9.140625" style="2"/>
    <col min="5384" max="5384" width="10.140625" style="2" bestFit="1" customWidth="1"/>
    <col min="5385" max="5629" width="9.140625" style="2"/>
    <col min="5630" max="5630" width="3.140625" style="2" customWidth="1"/>
    <col min="5631" max="5631" width="20.85546875" style="2" customWidth="1"/>
    <col min="5632" max="5632" width="27.42578125" style="2" customWidth="1"/>
    <col min="5633" max="5634" width="12.28515625" style="2" customWidth="1"/>
    <col min="5635" max="5635" width="12.42578125" style="2" customWidth="1"/>
    <col min="5636" max="5636" width="22.140625" style="2" customWidth="1"/>
    <col min="5637" max="5637" width="4.5703125" style="2" bestFit="1" customWidth="1"/>
    <col min="5638" max="5639" width="9.140625" style="2"/>
    <col min="5640" max="5640" width="10.140625" style="2" bestFit="1" customWidth="1"/>
    <col min="5641" max="5885" width="9.140625" style="2"/>
    <col min="5886" max="5886" width="3.140625" style="2" customWidth="1"/>
    <col min="5887" max="5887" width="20.85546875" style="2" customWidth="1"/>
    <col min="5888" max="5888" width="27.42578125" style="2" customWidth="1"/>
    <col min="5889" max="5890" width="12.28515625" style="2" customWidth="1"/>
    <col min="5891" max="5891" width="12.42578125" style="2" customWidth="1"/>
    <col min="5892" max="5892" width="22.140625" style="2" customWidth="1"/>
    <col min="5893" max="5893" width="4.5703125" style="2" bestFit="1" customWidth="1"/>
    <col min="5894" max="5895" width="9.140625" style="2"/>
    <col min="5896" max="5896" width="10.140625" style="2" bestFit="1" customWidth="1"/>
    <col min="5897" max="6141" width="9.140625" style="2"/>
    <col min="6142" max="6142" width="3.140625" style="2" customWidth="1"/>
    <col min="6143" max="6143" width="20.85546875" style="2" customWidth="1"/>
    <col min="6144" max="6144" width="27.42578125" style="2" customWidth="1"/>
    <col min="6145" max="6146" width="12.28515625" style="2" customWidth="1"/>
    <col min="6147" max="6147" width="12.42578125" style="2" customWidth="1"/>
    <col min="6148" max="6148" width="22.140625" style="2" customWidth="1"/>
    <col min="6149" max="6149" width="4.5703125" style="2" bestFit="1" customWidth="1"/>
    <col min="6150" max="6151" width="9.140625" style="2"/>
    <col min="6152" max="6152" width="10.140625" style="2" bestFit="1" customWidth="1"/>
    <col min="6153" max="6397" width="9.140625" style="2"/>
    <col min="6398" max="6398" width="3.140625" style="2" customWidth="1"/>
    <col min="6399" max="6399" width="20.85546875" style="2" customWidth="1"/>
    <col min="6400" max="6400" width="27.42578125" style="2" customWidth="1"/>
    <col min="6401" max="6402" width="12.28515625" style="2" customWidth="1"/>
    <col min="6403" max="6403" width="12.42578125" style="2" customWidth="1"/>
    <col min="6404" max="6404" width="22.140625" style="2" customWidth="1"/>
    <col min="6405" max="6405" width="4.5703125" style="2" bestFit="1" customWidth="1"/>
    <col min="6406" max="6407" width="9.140625" style="2"/>
    <col min="6408" max="6408" width="10.140625" style="2" bestFit="1" customWidth="1"/>
    <col min="6409" max="6653" width="9.140625" style="2"/>
    <col min="6654" max="6654" width="3.140625" style="2" customWidth="1"/>
    <col min="6655" max="6655" width="20.85546875" style="2" customWidth="1"/>
    <col min="6656" max="6656" width="27.42578125" style="2" customWidth="1"/>
    <col min="6657" max="6658" width="12.28515625" style="2" customWidth="1"/>
    <col min="6659" max="6659" width="12.42578125" style="2" customWidth="1"/>
    <col min="6660" max="6660" width="22.140625" style="2" customWidth="1"/>
    <col min="6661" max="6661" width="4.5703125" style="2" bestFit="1" customWidth="1"/>
    <col min="6662" max="6663" width="9.140625" style="2"/>
    <col min="6664" max="6664" width="10.140625" style="2" bestFit="1" customWidth="1"/>
    <col min="6665" max="6909" width="9.140625" style="2"/>
    <col min="6910" max="6910" width="3.140625" style="2" customWidth="1"/>
    <col min="6911" max="6911" width="20.85546875" style="2" customWidth="1"/>
    <col min="6912" max="6912" width="27.42578125" style="2" customWidth="1"/>
    <col min="6913" max="6914" width="12.28515625" style="2" customWidth="1"/>
    <col min="6915" max="6915" width="12.42578125" style="2" customWidth="1"/>
    <col min="6916" max="6916" width="22.140625" style="2" customWidth="1"/>
    <col min="6917" max="6917" width="4.5703125" style="2" bestFit="1" customWidth="1"/>
    <col min="6918" max="6919" width="9.140625" style="2"/>
    <col min="6920" max="6920" width="10.140625" style="2" bestFit="1" customWidth="1"/>
    <col min="6921" max="7165" width="9.140625" style="2"/>
    <col min="7166" max="7166" width="3.140625" style="2" customWidth="1"/>
    <col min="7167" max="7167" width="20.85546875" style="2" customWidth="1"/>
    <col min="7168" max="7168" width="27.42578125" style="2" customWidth="1"/>
    <col min="7169" max="7170" width="12.28515625" style="2" customWidth="1"/>
    <col min="7171" max="7171" width="12.42578125" style="2" customWidth="1"/>
    <col min="7172" max="7172" width="22.140625" style="2" customWidth="1"/>
    <col min="7173" max="7173" width="4.5703125" style="2" bestFit="1" customWidth="1"/>
    <col min="7174" max="7175" width="9.140625" style="2"/>
    <col min="7176" max="7176" width="10.140625" style="2" bestFit="1" customWidth="1"/>
    <col min="7177" max="7421" width="9.140625" style="2"/>
    <col min="7422" max="7422" width="3.140625" style="2" customWidth="1"/>
    <col min="7423" max="7423" width="20.85546875" style="2" customWidth="1"/>
    <col min="7424" max="7424" width="27.42578125" style="2" customWidth="1"/>
    <col min="7425" max="7426" width="12.28515625" style="2" customWidth="1"/>
    <col min="7427" max="7427" width="12.42578125" style="2" customWidth="1"/>
    <col min="7428" max="7428" width="22.140625" style="2" customWidth="1"/>
    <col min="7429" max="7429" width="4.5703125" style="2" bestFit="1" customWidth="1"/>
    <col min="7430" max="7431" width="9.140625" style="2"/>
    <col min="7432" max="7432" width="10.140625" style="2" bestFit="1" customWidth="1"/>
    <col min="7433" max="7677" width="9.140625" style="2"/>
    <col min="7678" max="7678" width="3.140625" style="2" customWidth="1"/>
    <col min="7679" max="7679" width="20.85546875" style="2" customWidth="1"/>
    <col min="7680" max="7680" width="27.42578125" style="2" customWidth="1"/>
    <col min="7681" max="7682" width="12.28515625" style="2" customWidth="1"/>
    <col min="7683" max="7683" width="12.42578125" style="2" customWidth="1"/>
    <col min="7684" max="7684" width="22.140625" style="2" customWidth="1"/>
    <col min="7685" max="7685" width="4.5703125" style="2" bestFit="1" customWidth="1"/>
    <col min="7686" max="7687" width="9.140625" style="2"/>
    <col min="7688" max="7688" width="10.140625" style="2" bestFit="1" customWidth="1"/>
    <col min="7689" max="7933" width="9.140625" style="2"/>
    <col min="7934" max="7934" width="3.140625" style="2" customWidth="1"/>
    <col min="7935" max="7935" width="20.85546875" style="2" customWidth="1"/>
    <col min="7936" max="7936" width="27.42578125" style="2" customWidth="1"/>
    <col min="7937" max="7938" width="12.28515625" style="2" customWidth="1"/>
    <col min="7939" max="7939" width="12.42578125" style="2" customWidth="1"/>
    <col min="7940" max="7940" width="22.140625" style="2" customWidth="1"/>
    <col min="7941" max="7941" width="4.5703125" style="2" bestFit="1" customWidth="1"/>
    <col min="7942" max="7943" width="9.140625" style="2"/>
    <col min="7944" max="7944" width="10.140625" style="2" bestFit="1" customWidth="1"/>
    <col min="7945" max="8189" width="9.140625" style="2"/>
    <col min="8190" max="8190" width="3.140625" style="2" customWidth="1"/>
    <col min="8191" max="8191" width="20.85546875" style="2" customWidth="1"/>
    <col min="8192" max="8192" width="27.42578125" style="2" customWidth="1"/>
    <col min="8193" max="8194" width="12.28515625" style="2" customWidth="1"/>
    <col min="8195" max="8195" width="12.42578125" style="2" customWidth="1"/>
    <col min="8196" max="8196" width="22.140625" style="2" customWidth="1"/>
    <col min="8197" max="8197" width="4.5703125" style="2" bestFit="1" customWidth="1"/>
    <col min="8198" max="8199" width="9.140625" style="2"/>
    <col min="8200" max="8200" width="10.140625" style="2" bestFit="1" customWidth="1"/>
    <col min="8201" max="8445" width="9.140625" style="2"/>
    <col min="8446" max="8446" width="3.140625" style="2" customWidth="1"/>
    <col min="8447" max="8447" width="20.85546875" style="2" customWidth="1"/>
    <col min="8448" max="8448" width="27.42578125" style="2" customWidth="1"/>
    <col min="8449" max="8450" width="12.28515625" style="2" customWidth="1"/>
    <col min="8451" max="8451" width="12.42578125" style="2" customWidth="1"/>
    <col min="8452" max="8452" width="22.140625" style="2" customWidth="1"/>
    <col min="8453" max="8453" width="4.5703125" style="2" bestFit="1" customWidth="1"/>
    <col min="8454" max="8455" width="9.140625" style="2"/>
    <col min="8456" max="8456" width="10.140625" style="2" bestFit="1" customWidth="1"/>
    <col min="8457" max="8701" width="9.140625" style="2"/>
    <col min="8702" max="8702" width="3.140625" style="2" customWidth="1"/>
    <col min="8703" max="8703" width="20.85546875" style="2" customWidth="1"/>
    <col min="8704" max="8704" width="27.42578125" style="2" customWidth="1"/>
    <col min="8705" max="8706" width="12.28515625" style="2" customWidth="1"/>
    <col min="8707" max="8707" width="12.42578125" style="2" customWidth="1"/>
    <col min="8708" max="8708" width="22.140625" style="2" customWidth="1"/>
    <col min="8709" max="8709" width="4.5703125" style="2" bestFit="1" customWidth="1"/>
    <col min="8710" max="8711" width="9.140625" style="2"/>
    <col min="8712" max="8712" width="10.140625" style="2" bestFit="1" customWidth="1"/>
    <col min="8713" max="8957" width="9.140625" style="2"/>
    <col min="8958" max="8958" width="3.140625" style="2" customWidth="1"/>
    <col min="8959" max="8959" width="20.85546875" style="2" customWidth="1"/>
    <col min="8960" max="8960" width="27.42578125" style="2" customWidth="1"/>
    <col min="8961" max="8962" width="12.28515625" style="2" customWidth="1"/>
    <col min="8963" max="8963" width="12.42578125" style="2" customWidth="1"/>
    <col min="8964" max="8964" width="22.140625" style="2" customWidth="1"/>
    <col min="8965" max="8965" width="4.5703125" style="2" bestFit="1" customWidth="1"/>
    <col min="8966" max="8967" width="9.140625" style="2"/>
    <col min="8968" max="8968" width="10.140625" style="2" bestFit="1" customWidth="1"/>
    <col min="8969" max="9213" width="9.140625" style="2"/>
    <col min="9214" max="9214" width="3.140625" style="2" customWidth="1"/>
    <col min="9215" max="9215" width="20.85546875" style="2" customWidth="1"/>
    <col min="9216" max="9216" width="27.42578125" style="2" customWidth="1"/>
    <col min="9217" max="9218" width="12.28515625" style="2" customWidth="1"/>
    <col min="9219" max="9219" width="12.42578125" style="2" customWidth="1"/>
    <col min="9220" max="9220" width="22.140625" style="2" customWidth="1"/>
    <col min="9221" max="9221" width="4.5703125" style="2" bestFit="1" customWidth="1"/>
    <col min="9222" max="9223" width="9.140625" style="2"/>
    <col min="9224" max="9224" width="10.140625" style="2" bestFit="1" customWidth="1"/>
    <col min="9225" max="9469" width="9.140625" style="2"/>
    <col min="9470" max="9470" width="3.140625" style="2" customWidth="1"/>
    <col min="9471" max="9471" width="20.85546875" style="2" customWidth="1"/>
    <col min="9472" max="9472" width="27.42578125" style="2" customWidth="1"/>
    <col min="9473" max="9474" width="12.28515625" style="2" customWidth="1"/>
    <col min="9475" max="9475" width="12.42578125" style="2" customWidth="1"/>
    <col min="9476" max="9476" width="22.140625" style="2" customWidth="1"/>
    <col min="9477" max="9477" width="4.5703125" style="2" bestFit="1" customWidth="1"/>
    <col min="9478" max="9479" width="9.140625" style="2"/>
    <col min="9480" max="9480" width="10.140625" style="2" bestFit="1" customWidth="1"/>
    <col min="9481" max="9725" width="9.140625" style="2"/>
    <col min="9726" max="9726" width="3.140625" style="2" customWidth="1"/>
    <col min="9727" max="9727" width="20.85546875" style="2" customWidth="1"/>
    <col min="9728" max="9728" width="27.42578125" style="2" customWidth="1"/>
    <col min="9729" max="9730" width="12.28515625" style="2" customWidth="1"/>
    <col min="9731" max="9731" width="12.42578125" style="2" customWidth="1"/>
    <col min="9732" max="9732" width="22.140625" style="2" customWidth="1"/>
    <col min="9733" max="9733" width="4.5703125" style="2" bestFit="1" customWidth="1"/>
    <col min="9734" max="9735" width="9.140625" style="2"/>
    <col min="9736" max="9736" width="10.140625" style="2" bestFit="1" customWidth="1"/>
    <col min="9737" max="9981" width="9.140625" style="2"/>
    <col min="9982" max="9982" width="3.140625" style="2" customWidth="1"/>
    <col min="9983" max="9983" width="20.85546875" style="2" customWidth="1"/>
    <col min="9984" max="9984" width="27.42578125" style="2" customWidth="1"/>
    <col min="9985" max="9986" width="12.28515625" style="2" customWidth="1"/>
    <col min="9987" max="9987" width="12.42578125" style="2" customWidth="1"/>
    <col min="9988" max="9988" width="22.140625" style="2" customWidth="1"/>
    <col min="9989" max="9989" width="4.5703125" style="2" bestFit="1" customWidth="1"/>
    <col min="9990" max="9991" width="9.140625" style="2"/>
    <col min="9992" max="9992" width="10.140625" style="2" bestFit="1" customWidth="1"/>
    <col min="9993" max="10237" width="9.140625" style="2"/>
    <col min="10238" max="10238" width="3.140625" style="2" customWidth="1"/>
    <col min="10239" max="10239" width="20.85546875" style="2" customWidth="1"/>
    <col min="10240" max="10240" width="27.42578125" style="2" customWidth="1"/>
    <col min="10241" max="10242" width="12.28515625" style="2" customWidth="1"/>
    <col min="10243" max="10243" width="12.42578125" style="2" customWidth="1"/>
    <col min="10244" max="10244" width="22.140625" style="2" customWidth="1"/>
    <col min="10245" max="10245" width="4.5703125" style="2" bestFit="1" customWidth="1"/>
    <col min="10246" max="10247" width="9.140625" style="2"/>
    <col min="10248" max="10248" width="10.140625" style="2" bestFit="1" customWidth="1"/>
    <col min="10249" max="10493" width="9.140625" style="2"/>
    <col min="10494" max="10494" width="3.140625" style="2" customWidth="1"/>
    <col min="10495" max="10495" width="20.85546875" style="2" customWidth="1"/>
    <col min="10496" max="10496" width="27.42578125" style="2" customWidth="1"/>
    <col min="10497" max="10498" width="12.28515625" style="2" customWidth="1"/>
    <col min="10499" max="10499" width="12.42578125" style="2" customWidth="1"/>
    <col min="10500" max="10500" width="22.140625" style="2" customWidth="1"/>
    <col min="10501" max="10501" width="4.5703125" style="2" bestFit="1" customWidth="1"/>
    <col min="10502" max="10503" width="9.140625" style="2"/>
    <col min="10504" max="10504" width="10.140625" style="2" bestFit="1" customWidth="1"/>
    <col min="10505" max="10749" width="9.140625" style="2"/>
    <col min="10750" max="10750" width="3.140625" style="2" customWidth="1"/>
    <col min="10751" max="10751" width="20.85546875" style="2" customWidth="1"/>
    <col min="10752" max="10752" width="27.42578125" style="2" customWidth="1"/>
    <col min="10753" max="10754" width="12.28515625" style="2" customWidth="1"/>
    <col min="10755" max="10755" width="12.42578125" style="2" customWidth="1"/>
    <col min="10756" max="10756" width="22.140625" style="2" customWidth="1"/>
    <col min="10757" max="10757" width="4.5703125" style="2" bestFit="1" customWidth="1"/>
    <col min="10758" max="10759" width="9.140625" style="2"/>
    <col min="10760" max="10760" width="10.140625" style="2" bestFit="1" customWidth="1"/>
    <col min="10761" max="11005" width="9.140625" style="2"/>
    <col min="11006" max="11006" width="3.140625" style="2" customWidth="1"/>
    <col min="11007" max="11007" width="20.85546875" style="2" customWidth="1"/>
    <col min="11008" max="11008" width="27.42578125" style="2" customWidth="1"/>
    <col min="11009" max="11010" width="12.28515625" style="2" customWidth="1"/>
    <col min="11011" max="11011" width="12.42578125" style="2" customWidth="1"/>
    <col min="11012" max="11012" width="22.140625" style="2" customWidth="1"/>
    <col min="11013" max="11013" width="4.5703125" style="2" bestFit="1" customWidth="1"/>
    <col min="11014" max="11015" width="9.140625" style="2"/>
    <col min="11016" max="11016" width="10.140625" style="2" bestFit="1" customWidth="1"/>
    <col min="11017" max="11261" width="9.140625" style="2"/>
    <col min="11262" max="11262" width="3.140625" style="2" customWidth="1"/>
    <col min="11263" max="11263" width="20.85546875" style="2" customWidth="1"/>
    <col min="11264" max="11264" width="27.42578125" style="2" customWidth="1"/>
    <col min="11265" max="11266" width="12.28515625" style="2" customWidth="1"/>
    <col min="11267" max="11267" width="12.42578125" style="2" customWidth="1"/>
    <col min="11268" max="11268" width="22.140625" style="2" customWidth="1"/>
    <col min="11269" max="11269" width="4.5703125" style="2" bestFit="1" customWidth="1"/>
    <col min="11270" max="11271" width="9.140625" style="2"/>
    <col min="11272" max="11272" width="10.140625" style="2" bestFit="1" customWidth="1"/>
    <col min="11273" max="11517" width="9.140625" style="2"/>
    <col min="11518" max="11518" width="3.140625" style="2" customWidth="1"/>
    <col min="11519" max="11519" width="20.85546875" style="2" customWidth="1"/>
    <col min="11520" max="11520" width="27.42578125" style="2" customWidth="1"/>
    <col min="11521" max="11522" width="12.28515625" style="2" customWidth="1"/>
    <col min="11523" max="11523" width="12.42578125" style="2" customWidth="1"/>
    <col min="11524" max="11524" width="22.140625" style="2" customWidth="1"/>
    <col min="11525" max="11525" width="4.5703125" style="2" bestFit="1" customWidth="1"/>
    <col min="11526" max="11527" width="9.140625" style="2"/>
    <col min="11528" max="11528" width="10.140625" style="2" bestFit="1" customWidth="1"/>
    <col min="11529" max="11773" width="9.140625" style="2"/>
    <col min="11774" max="11774" width="3.140625" style="2" customWidth="1"/>
    <col min="11775" max="11775" width="20.85546875" style="2" customWidth="1"/>
    <col min="11776" max="11776" width="27.42578125" style="2" customWidth="1"/>
    <col min="11777" max="11778" width="12.28515625" style="2" customWidth="1"/>
    <col min="11779" max="11779" width="12.42578125" style="2" customWidth="1"/>
    <col min="11780" max="11780" width="22.140625" style="2" customWidth="1"/>
    <col min="11781" max="11781" width="4.5703125" style="2" bestFit="1" customWidth="1"/>
    <col min="11782" max="11783" width="9.140625" style="2"/>
    <col min="11784" max="11784" width="10.140625" style="2" bestFit="1" customWidth="1"/>
    <col min="11785" max="12029" width="9.140625" style="2"/>
    <col min="12030" max="12030" width="3.140625" style="2" customWidth="1"/>
    <col min="12031" max="12031" width="20.85546875" style="2" customWidth="1"/>
    <col min="12032" max="12032" width="27.42578125" style="2" customWidth="1"/>
    <col min="12033" max="12034" width="12.28515625" style="2" customWidth="1"/>
    <col min="12035" max="12035" width="12.42578125" style="2" customWidth="1"/>
    <col min="12036" max="12036" width="22.140625" style="2" customWidth="1"/>
    <col min="12037" max="12037" width="4.5703125" style="2" bestFit="1" customWidth="1"/>
    <col min="12038" max="12039" width="9.140625" style="2"/>
    <col min="12040" max="12040" width="10.140625" style="2" bestFit="1" customWidth="1"/>
    <col min="12041" max="12285" width="9.140625" style="2"/>
    <col min="12286" max="12286" width="3.140625" style="2" customWidth="1"/>
    <col min="12287" max="12287" width="20.85546875" style="2" customWidth="1"/>
    <col min="12288" max="12288" width="27.42578125" style="2" customWidth="1"/>
    <col min="12289" max="12290" width="12.28515625" style="2" customWidth="1"/>
    <col min="12291" max="12291" width="12.42578125" style="2" customWidth="1"/>
    <col min="12292" max="12292" width="22.140625" style="2" customWidth="1"/>
    <col min="12293" max="12293" width="4.5703125" style="2" bestFit="1" customWidth="1"/>
    <col min="12294" max="12295" width="9.140625" style="2"/>
    <col min="12296" max="12296" width="10.140625" style="2" bestFit="1" customWidth="1"/>
    <col min="12297" max="12541" width="9.140625" style="2"/>
    <col min="12542" max="12542" width="3.140625" style="2" customWidth="1"/>
    <col min="12543" max="12543" width="20.85546875" style="2" customWidth="1"/>
    <col min="12544" max="12544" width="27.42578125" style="2" customWidth="1"/>
    <col min="12545" max="12546" width="12.28515625" style="2" customWidth="1"/>
    <col min="12547" max="12547" width="12.42578125" style="2" customWidth="1"/>
    <col min="12548" max="12548" width="22.140625" style="2" customWidth="1"/>
    <col min="12549" max="12549" width="4.5703125" style="2" bestFit="1" customWidth="1"/>
    <col min="12550" max="12551" width="9.140625" style="2"/>
    <col min="12552" max="12552" width="10.140625" style="2" bestFit="1" customWidth="1"/>
    <col min="12553" max="12797" width="9.140625" style="2"/>
    <col min="12798" max="12798" width="3.140625" style="2" customWidth="1"/>
    <col min="12799" max="12799" width="20.85546875" style="2" customWidth="1"/>
    <col min="12800" max="12800" width="27.42578125" style="2" customWidth="1"/>
    <col min="12801" max="12802" width="12.28515625" style="2" customWidth="1"/>
    <col min="12803" max="12803" width="12.42578125" style="2" customWidth="1"/>
    <col min="12804" max="12804" width="22.140625" style="2" customWidth="1"/>
    <col min="12805" max="12805" width="4.5703125" style="2" bestFit="1" customWidth="1"/>
    <col min="12806" max="12807" width="9.140625" style="2"/>
    <col min="12808" max="12808" width="10.140625" style="2" bestFit="1" customWidth="1"/>
    <col min="12809" max="13053" width="9.140625" style="2"/>
    <col min="13054" max="13054" width="3.140625" style="2" customWidth="1"/>
    <col min="13055" max="13055" width="20.85546875" style="2" customWidth="1"/>
    <col min="13056" max="13056" width="27.42578125" style="2" customWidth="1"/>
    <col min="13057" max="13058" width="12.28515625" style="2" customWidth="1"/>
    <col min="13059" max="13059" width="12.42578125" style="2" customWidth="1"/>
    <col min="13060" max="13060" width="22.140625" style="2" customWidth="1"/>
    <col min="13061" max="13061" width="4.5703125" style="2" bestFit="1" customWidth="1"/>
    <col min="13062" max="13063" width="9.140625" style="2"/>
    <col min="13064" max="13064" width="10.140625" style="2" bestFit="1" customWidth="1"/>
    <col min="13065" max="13309" width="9.140625" style="2"/>
    <col min="13310" max="13310" width="3.140625" style="2" customWidth="1"/>
    <col min="13311" max="13311" width="20.85546875" style="2" customWidth="1"/>
    <col min="13312" max="13312" width="27.42578125" style="2" customWidth="1"/>
    <col min="13313" max="13314" width="12.28515625" style="2" customWidth="1"/>
    <col min="13315" max="13315" width="12.42578125" style="2" customWidth="1"/>
    <col min="13316" max="13316" width="22.140625" style="2" customWidth="1"/>
    <col min="13317" max="13317" width="4.5703125" style="2" bestFit="1" customWidth="1"/>
    <col min="13318" max="13319" width="9.140625" style="2"/>
    <col min="13320" max="13320" width="10.140625" style="2" bestFit="1" customWidth="1"/>
    <col min="13321" max="13565" width="9.140625" style="2"/>
    <col min="13566" max="13566" width="3.140625" style="2" customWidth="1"/>
    <col min="13567" max="13567" width="20.85546875" style="2" customWidth="1"/>
    <col min="13568" max="13568" width="27.42578125" style="2" customWidth="1"/>
    <col min="13569" max="13570" width="12.28515625" style="2" customWidth="1"/>
    <col min="13571" max="13571" width="12.42578125" style="2" customWidth="1"/>
    <col min="13572" max="13572" width="22.140625" style="2" customWidth="1"/>
    <col min="13573" max="13573" width="4.5703125" style="2" bestFit="1" customWidth="1"/>
    <col min="13574" max="13575" width="9.140625" style="2"/>
    <col min="13576" max="13576" width="10.140625" style="2" bestFit="1" customWidth="1"/>
    <col min="13577" max="13821" width="9.140625" style="2"/>
    <col min="13822" max="13822" width="3.140625" style="2" customWidth="1"/>
    <col min="13823" max="13823" width="20.85546875" style="2" customWidth="1"/>
    <col min="13824" max="13824" width="27.42578125" style="2" customWidth="1"/>
    <col min="13825" max="13826" width="12.28515625" style="2" customWidth="1"/>
    <col min="13827" max="13827" width="12.42578125" style="2" customWidth="1"/>
    <col min="13828" max="13828" width="22.140625" style="2" customWidth="1"/>
    <col min="13829" max="13829" width="4.5703125" style="2" bestFit="1" customWidth="1"/>
    <col min="13830" max="13831" width="9.140625" style="2"/>
    <col min="13832" max="13832" width="10.140625" style="2" bestFit="1" customWidth="1"/>
    <col min="13833" max="14077" width="9.140625" style="2"/>
    <col min="14078" max="14078" width="3.140625" style="2" customWidth="1"/>
    <col min="14079" max="14079" width="20.85546875" style="2" customWidth="1"/>
    <col min="14080" max="14080" width="27.42578125" style="2" customWidth="1"/>
    <col min="14081" max="14082" width="12.28515625" style="2" customWidth="1"/>
    <col min="14083" max="14083" width="12.42578125" style="2" customWidth="1"/>
    <col min="14084" max="14084" width="22.140625" style="2" customWidth="1"/>
    <col min="14085" max="14085" width="4.5703125" style="2" bestFit="1" customWidth="1"/>
    <col min="14086" max="14087" width="9.140625" style="2"/>
    <col min="14088" max="14088" width="10.140625" style="2" bestFit="1" customWidth="1"/>
    <col min="14089" max="14333" width="9.140625" style="2"/>
    <col min="14334" max="14334" width="3.140625" style="2" customWidth="1"/>
    <col min="14335" max="14335" width="20.85546875" style="2" customWidth="1"/>
    <col min="14336" max="14336" width="27.42578125" style="2" customWidth="1"/>
    <col min="14337" max="14338" width="12.28515625" style="2" customWidth="1"/>
    <col min="14339" max="14339" width="12.42578125" style="2" customWidth="1"/>
    <col min="14340" max="14340" width="22.140625" style="2" customWidth="1"/>
    <col min="14341" max="14341" width="4.5703125" style="2" bestFit="1" customWidth="1"/>
    <col min="14342" max="14343" width="9.140625" style="2"/>
    <col min="14344" max="14344" width="10.140625" style="2" bestFit="1" customWidth="1"/>
    <col min="14345" max="14589" width="9.140625" style="2"/>
    <col min="14590" max="14590" width="3.140625" style="2" customWidth="1"/>
    <col min="14591" max="14591" width="20.85546875" style="2" customWidth="1"/>
    <col min="14592" max="14592" width="27.42578125" style="2" customWidth="1"/>
    <col min="14593" max="14594" width="12.28515625" style="2" customWidth="1"/>
    <col min="14595" max="14595" width="12.42578125" style="2" customWidth="1"/>
    <col min="14596" max="14596" width="22.140625" style="2" customWidth="1"/>
    <col min="14597" max="14597" width="4.5703125" style="2" bestFit="1" customWidth="1"/>
    <col min="14598" max="14599" width="9.140625" style="2"/>
    <col min="14600" max="14600" width="10.140625" style="2" bestFit="1" customWidth="1"/>
    <col min="14601" max="14845" width="9.140625" style="2"/>
    <col min="14846" max="14846" width="3.140625" style="2" customWidth="1"/>
    <col min="14847" max="14847" width="20.85546875" style="2" customWidth="1"/>
    <col min="14848" max="14848" width="27.42578125" style="2" customWidth="1"/>
    <col min="14849" max="14850" width="12.28515625" style="2" customWidth="1"/>
    <col min="14851" max="14851" width="12.42578125" style="2" customWidth="1"/>
    <col min="14852" max="14852" width="22.140625" style="2" customWidth="1"/>
    <col min="14853" max="14853" width="4.5703125" style="2" bestFit="1" customWidth="1"/>
    <col min="14854" max="14855" width="9.140625" style="2"/>
    <col min="14856" max="14856" width="10.140625" style="2" bestFit="1" customWidth="1"/>
    <col min="14857" max="15101" width="9.140625" style="2"/>
    <col min="15102" max="15102" width="3.140625" style="2" customWidth="1"/>
    <col min="15103" max="15103" width="20.85546875" style="2" customWidth="1"/>
    <col min="15104" max="15104" width="27.42578125" style="2" customWidth="1"/>
    <col min="15105" max="15106" width="12.28515625" style="2" customWidth="1"/>
    <col min="15107" max="15107" width="12.42578125" style="2" customWidth="1"/>
    <col min="15108" max="15108" width="22.140625" style="2" customWidth="1"/>
    <col min="15109" max="15109" width="4.5703125" style="2" bestFit="1" customWidth="1"/>
    <col min="15110" max="15111" width="9.140625" style="2"/>
    <col min="15112" max="15112" width="10.140625" style="2" bestFit="1" customWidth="1"/>
    <col min="15113" max="15357" width="9.140625" style="2"/>
    <col min="15358" max="15358" width="3.140625" style="2" customWidth="1"/>
    <col min="15359" max="15359" width="20.85546875" style="2" customWidth="1"/>
    <col min="15360" max="15360" width="27.42578125" style="2" customWidth="1"/>
    <col min="15361" max="15362" width="12.28515625" style="2" customWidth="1"/>
    <col min="15363" max="15363" width="12.42578125" style="2" customWidth="1"/>
    <col min="15364" max="15364" width="22.140625" style="2" customWidth="1"/>
    <col min="15365" max="15365" width="4.5703125" style="2" bestFit="1" customWidth="1"/>
    <col min="15366" max="15367" width="9.140625" style="2"/>
    <col min="15368" max="15368" width="10.140625" style="2" bestFit="1" customWidth="1"/>
    <col min="15369" max="15613" width="9.140625" style="2"/>
    <col min="15614" max="15614" width="3.140625" style="2" customWidth="1"/>
    <col min="15615" max="15615" width="20.85546875" style="2" customWidth="1"/>
    <col min="15616" max="15616" width="27.42578125" style="2" customWidth="1"/>
    <col min="15617" max="15618" width="12.28515625" style="2" customWidth="1"/>
    <col min="15619" max="15619" width="12.42578125" style="2" customWidth="1"/>
    <col min="15620" max="15620" width="22.140625" style="2" customWidth="1"/>
    <col min="15621" max="15621" width="4.5703125" style="2" bestFit="1" customWidth="1"/>
    <col min="15622" max="15623" width="9.140625" style="2"/>
    <col min="15624" max="15624" width="10.140625" style="2" bestFit="1" customWidth="1"/>
    <col min="15625" max="15869" width="9.140625" style="2"/>
    <col min="15870" max="15870" width="3.140625" style="2" customWidth="1"/>
    <col min="15871" max="15871" width="20.85546875" style="2" customWidth="1"/>
    <col min="15872" max="15872" width="27.42578125" style="2" customWidth="1"/>
    <col min="15873" max="15874" width="12.28515625" style="2" customWidth="1"/>
    <col min="15875" max="15875" width="12.42578125" style="2" customWidth="1"/>
    <col min="15876" max="15876" width="22.140625" style="2" customWidth="1"/>
    <col min="15877" max="15877" width="4.5703125" style="2" bestFit="1" customWidth="1"/>
    <col min="15878" max="15879" width="9.140625" style="2"/>
    <col min="15880" max="15880" width="10.140625" style="2" bestFit="1" customWidth="1"/>
    <col min="15881" max="16125" width="9.140625" style="2"/>
    <col min="16126" max="16126" width="3.140625" style="2" customWidth="1"/>
    <col min="16127" max="16127" width="20.85546875" style="2" customWidth="1"/>
    <col min="16128" max="16128" width="27.42578125" style="2" customWidth="1"/>
    <col min="16129" max="16130" width="12.28515625" style="2" customWidth="1"/>
    <col min="16131" max="16131" width="12.42578125" style="2" customWidth="1"/>
    <col min="16132" max="16132" width="22.140625" style="2" customWidth="1"/>
    <col min="16133" max="16133" width="4.5703125" style="2" bestFit="1" customWidth="1"/>
    <col min="16134" max="16135" width="9.140625" style="2"/>
    <col min="16136" max="16136" width="10.140625" style="2" bestFit="1" customWidth="1"/>
    <col min="16137" max="16384" width="9.140625" style="2"/>
  </cols>
  <sheetData>
    <row r="1" spans="1:6" x14ac:dyDescent="0.2">
      <c r="A1" s="1"/>
      <c r="B1" s="1"/>
      <c r="C1" s="1"/>
      <c r="D1" s="1"/>
    </row>
    <row r="2" spans="1:6" ht="18.75" customHeight="1" x14ac:dyDescent="0.2">
      <c r="A2" s="107" t="s">
        <v>0</v>
      </c>
      <c r="B2" s="107"/>
      <c r="C2" s="107"/>
      <c r="D2" s="107"/>
    </row>
    <row r="3" spans="1:6" ht="25.5" x14ac:dyDescent="0.2">
      <c r="A3" s="3" t="s">
        <v>1</v>
      </c>
      <c r="B3" s="4" t="s">
        <v>2</v>
      </c>
      <c r="C3" s="4" t="s">
        <v>3</v>
      </c>
      <c r="D3" s="5" t="s">
        <v>4</v>
      </c>
    </row>
    <row r="4" spans="1:6" ht="19.5" customHeight="1" x14ac:dyDescent="0.2">
      <c r="A4" s="108">
        <v>1</v>
      </c>
      <c r="B4" s="6" t="s">
        <v>5</v>
      </c>
      <c r="C4" s="7" t="s">
        <v>6</v>
      </c>
      <c r="D4" s="62">
        <f>82087.56+11374.02+4894.56</f>
        <v>98356.14</v>
      </c>
    </row>
    <row r="5" spans="1:6" ht="22.5" customHeight="1" x14ac:dyDescent="0.2">
      <c r="A5" s="109"/>
      <c r="B5" s="8" t="s">
        <v>7</v>
      </c>
      <c r="C5" s="9"/>
      <c r="D5" s="10">
        <f>SUM(D4:D4)</f>
        <v>98356.14</v>
      </c>
    </row>
    <row r="6" spans="1:6" ht="22.5" customHeight="1" x14ac:dyDescent="0.2">
      <c r="A6" s="92">
        <v>2</v>
      </c>
      <c r="B6" s="6" t="s">
        <v>8</v>
      </c>
      <c r="C6" s="7" t="s">
        <v>6</v>
      </c>
      <c r="D6" s="63">
        <f>57834+3075.84</f>
        <v>60909.84</v>
      </c>
    </row>
    <row r="7" spans="1:6" s="11" customFormat="1" ht="21.75" customHeight="1" x14ac:dyDescent="0.2">
      <c r="A7" s="90"/>
      <c r="B7" s="8" t="s">
        <v>7</v>
      </c>
      <c r="C7" s="9"/>
      <c r="D7" s="10">
        <f t="shared" ref="D7" si="0">SUM(D6:D6)</f>
        <v>60909.84</v>
      </c>
    </row>
    <row r="8" spans="1:6" s="11" customFormat="1" ht="27" customHeight="1" x14ac:dyDescent="0.2">
      <c r="A8" s="110">
        <v>3</v>
      </c>
      <c r="B8" s="113" t="s">
        <v>9</v>
      </c>
      <c r="C8" s="7" t="s">
        <v>10</v>
      </c>
      <c r="D8" s="62">
        <v>59286</v>
      </c>
      <c r="F8" s="12"/>
    </row>
    <row r="9" spans="1:6" s="11" customFormat="1" ht="36.75" customHeight="1" x14ac:dyDescent="0.2">
      <c r="A9" s="111"/>
      <c r="B9" s="114"/>
      <c r="C9" s="13" t="s">
        <v>11</v>
      </c>
      <c r="D9" s="63">
        <f>7590.69+66.77</f>
        <v>7657.46</v>
      </c>
      <c r="F9" s="12"/>
    </row>
    <row r="10" spans="1:6" s="11" customFormat="1" ht="24" customHeight="1" x14ac:dyDescent="0.2">
      <c r="A10" s="111"/>
      <c r="B10" s="114"/>
      <c r="C10" s="7" t="s">
        <v>6</v>
      </c>
      <c r="D10" s="63">
        <f>50475.96+2447.28</f>
        <v>52923.24</v>
      </c>
      <c r="F10" s="12"/>
    </row>
    <row r="11" spans="1:6" s="11" customFormat="1" ht="24" customHeight="1" x14ac:dyDescent="0.2">
      <c r="A11" s="111"/>
      <c r="B11" s="114"/>
      <c r="C11" s="7" t="s">
        <v>12</v>
      </c>
      <c r="D11" s="63">
        <v>541.61</v>
      </c>
      <c r="F11" s="12"/>
    </row>
    <row r="12" spans="1:6" s="11" customFormat="1" ht="24" customHeight="1" x14ac:dyDescent="0.2">
      <c r="A12" s="111"/>
      <c r="B12" s="114"/>
      <c r="C12" s="7" t="s">
        <v>13</v>
      </c>
      <c r="D12" s="63">
        <v>6826.5</v>
      </c>
      <c r="F12" s="12"/>
    </row>
    <row r="13" spans="1:6" s="11" customFormat="1" ht="24" customHeight="1" x14ac:dyDescent="0.2">
      <c r="A13" s="111"/>
      <c r="B13" s="114"/>
      <c r="C13" s="7" t="s">
        <v>14</v>
      </c>
      <c r="D13" s="63">
        <v>674.04</v>
      </c>
      <c r="F13" s="12"/>
    </row>
    <row r="14" spans="1:6" s="11" customFormat="1" ht="31.5" customHeight="1" x14ac:dyDescent="0.2">
      <c r="A14" s="111"/>
      <c r="B14" s="114"/>
      <c r="C14" s="13" t="s">
        <v>15</v>
      </c>
      <c r="D14" s="63">
        <f>104550+2300.1</f>
        <v>106850.1</v>
      </c>
      <c r="F14" s="12"/>
    </row>
    <row r="15" spans="1:6" s="11" customFormat="1" ht="24" customHeight="1" x14ac:dyDescent="0.2">
      <c r="A15" s="112"/>
      <c r="B15" s="8" t="s">
        <v>7</v>
      </c>
      <c r="C15" s="9"/>
      <c r="D15" s="10">
        <f>SUM(D8:D14)</f>
        <v>234758.95</v>
      </c>
      <c r="F15" s="12"/>
    </row>
    <row r="16" spans="1:6" s="11" customFormat="1" ht="27.75" customHeight="1" x14ac:dyDescent="0.2">
      <c r="A16" s="115"/>
      <c r="B16" s="71"/>
      <c r="C16" s="7" t="s">
        <v>6</v>
      </c>
      <c r="D16" s="62">
        <f>72256.86+4390.2</f>
        <v>76647.06</v>
      </c>
      <c r="F16" s="12"/>
    </row>
    <row r="17" spans="1:4" s="11" customFormat="1" ht="24" customHeight="1" x14ac:dyDescent="0.2">
      <c r="A17" s="109"/>
      <c r="B17" s="8" t="s">
        <v>7</v>
      </c>
      <c r="C17" s="9"/>
      <c r="D17" s="10">
        <f>SUM(D16:D16)+10771.59</f>
        <v>87418.65</v>
      </c>
    </row>
    <row r="18" spans="1:4" s="11" customFormat="1" ht="24" customHeight="1" x14ac:dyDescent="0.2">
      <c r="A18" s="14"/>
      <c r="B18" s="93" t="s">
        <v>16</v>
      </c>
      <c r="C18" s="7" t="s">
        <v>6</v>
      </c>
      <c r="D18" s="63">
        <f>45904.32+832.68+889.92</f>
        <v>47626.92</v>
      </c>
    </row>
    <row r="19" spans="1:4" s="11" customFormat="1" ht="24" customHeight="1" x14ac:dyDescent="0.2">
      <c r="A19" s="14"/>
      <c r="B19" s="91"/>
      <c r="C19" s="7" t="s">
        <v>17</v>
      </c>
      <c r="D19" s="63">
        <f>1225.42+4649.4</f>
        <v>5874.82</v>
      </c>
    </row>
    <row r="20" spans="1:4" s="11" customFormat="1" ht="24" customHeight="1" x14ac:dyDescent="0.2">
      <c r="A20" s="89">
        <v>5</v>
      </c>
      <c r="B20" s="100"/>
      <c r="C20" s="7" t="s">
        <v>18</v>
      </c>
      <c r="D20" s="63">
        <v>6826.5</v>
      </c>
    </row>
    <row r="21" spans="1:4" s="11" customFormat="1" ht="19.5" customHeight="1" x14ac:dyDescent="0.2">
      <c r="A21" s="90"/>
      <c r="B21" s="8" t="s">
        <v>7</v>
      </c>
      <c r="C21" s="9"/>
      <c r="D21" s="10">
        <f>SUM(D18:D20)</f>
        <v>60328.24</v>
      </c>
    </row>
    <row r="22" spans="1:4" s="11" customFormat="1" ht="27" customHeight="1" x14ac:dyDescent="0.2">
      <c r="A22" s="101">
        <v>6</v>
      </c>
      <c r="B22" s="104" t="s">
        <v>19</v>
      </c>
      <c r="C22" s="7" t="s">
        <v>6</v>
      </c>
      <c r="D22" s="63">
        <f>45409.51+16761.66+1279.49+472.29+909.23+2463.23</f>
        <v>67295.41</v>
      </c>
    </row>
    <row r="23" spans="1:4" s="11" customFormat="1" ht="27.75" customHeight="1" x14ac:dyDescent="0.2">
      <c r="A23" s="102"/>
      <c r="B23" s="105"/>
      <c r="C23" s="7" t="s">
        <v>20</v>
      </c>
      <c r="D23" s="63">
        <f>628.1+219.35</f>
        <v>847.45</v>
      </c>
    </row>
    <row r="24" spans="1:4" s="11" customFormat="1" ht="25.5" customHeight="1" x14ac:dyDescent="0.2">
      <c r="A24" s="102"/>
      <c r="B24" s="105"/>
      <c r="C24" s="13" t="s">
        <v>21</v>
      </c>
      <c r="D24" s="63">
        <f>5057.73+1866.92</f>
        <v>6924.65</v>
      </c>
    </row>
    <row r="25" spans="1:4" s="11" customFormat="1" ht="23.25" customHeight="1" x14ac:dyDescent="0.2">
      <c r="A25" s="102"/>
      <c r="B25" s="106"/>
      <c r="C25" s="13" t="s">
        <v>22</v>
      </c>
      <c r="D25" s="63">
        <f>880+5025.53+3490.2+2000</f>
        <v>11395.73</v>
      </c>
    </row>
    <row r="26" spans="1:4" s="11" customFormat="1" ht="25.5" customHeight="1" x14ac:dyDescent="0.2">
      <c r="A26" s="103"/>
      <c r="B26" s="8" t="s">
        <v>7</v>
      </c>
      <c r="C26" s="9"/>
      <c r="D26" s="16">
        <f>SUM(D22:D25)</f>
        <v>86463.239999999991</v>
      </c>
    </row>
    <row r="27" spans="1:4" s="11" customFormat="1" ht="25.5" customHeight="1" x14ac:dyDescent="0.2">
      <c r="A27" s="92">
        <v>7</v>
      </c>
      <c r="B27" s="93" t="s">
        <v>23</v>
      </c>
      <c r="C27" s="7" t="s">
        <v>6</v>
      </c>
      <c r="D27" s="63">
        <f>36070.52+1970.46+3923.74</f>
        <v>41964.719999999994</v>
      </c>
    </row>
    <row r="28" spans="1:4" s="11" customFormat="1" ht="31.5" customHeight="1" x14ac:dyDescent="0.2">
      <c r="A28" s="89"/>
      <c r="B28" s="100"/>
      <c r="C28" s="7" t="s">
        <v>24</v>
      </c>
      <c r="D28" s="62">
        <f>13419.09+336.22+489.02</f>
        <v>14244.33</v>
      </c>
    </row>
    <row r="29" spans="1:4" s="11" customFormat="1" ht="30" customHeight="1" x14ac:dyDescent="0.2">
      <c r="A29" s="90"/>
      <c r="B29" s="8" t="s">
        <v>7</v>
      </c>
      <c r="C29" s="9"/>
      <c r="D29" s="10">
        <f>SUM(D27:D28)</f>
        <v>56209.049999999996</v>
      </c>
    </row>
    <row r="30" spans="1:4" s="11" customFormat="1" ht="20.25" customHeight="1" x14ac:dyDescent="0.2">
      <c r="A30" s="94">
        <v>8</v>
      </c>
      <c r="B30" s="93" t="s">
        <v>25</v>
      </c>
      <c r="C30" s="7" t="s">
        <v>12</v>
      </c>
      <c r="D30" s="64">
        <f>320.19+85.33</f>
        <v>405.52</v>
      </c>
    </row>
    <row r="31" spans="1:4" s="11" customFormat="1" ht="20.25" customHeight="1" x14ac:dyDescent="0.2">
      <c r="A31" s="95"/>
      <c r="B31" s="91"/>
      <c r="C31" s="7" t="s">
        <v>6</v>
      </c>
      <c r="D31" s="63">
        <f>25646.44+7783.66+2129.86+646.41</f>
        <v>36206.370000000003</v>
      </c>
    </row>
    <row r="32" spans="1:4" s="11" customFormat="1" ht="30" customHeight="1" x14ac:dyDescent="0.2">
      <c r="A32" s="96"/>
      <c r="B32" s="8" t="s">
        <v>7</v>
      </c>
      <c r="C32" s="9"/>
      <c r="D32" s="10">
        <f>SUM(D30:D31)</f>
        <v>36611.89</v>
      </c>
    </row>
    <row r="33" spans="1:8" s="11" customFormat="1" ht="37.5" customHeight="1" x14ac:dyDescent="0.2">
      <c r="A33" s="92">
        <v>9</v>
      </c>
      <c r="B33" s="97" t="s">
        <v>26</v>
      </c>
      <c r="C33" s="7" t="s">
        <v>27</v>
      </c>
      <c r="D33" s="62">
        <f>2000+551.29+1120+364.98</f>
        <v>4036.27</v>
      </c>
    </row>
    <row r="34" spans="1:8" s="11" customFormat="1" ht="24.75" customHeight="1" x14ac:dyDescent="0.2">
      <c r="A34" s="89"/>
      <c r="B34" s="98"/>
      <c r="C34" s="7" t="s">
        <v>6</v>
      </c>
      <c r="D34" s="63">
        <f>70207.95+2408.14</f>
        <v>72616.09</v>
      </c>
    </row>
    <row r="35" spans="1:8" s="11" customFormat="1" ht="15.75" customHeight="1" x14ac:dyDescent="0.2">
      <c r="A35" s="89"/>
      <c r="B35" s="98"/>
      <c r="C35" s="7" t="s">
        <v>12</v>
      </c>
      <c r="D35" s="63">
        <v>694.44</v>
      </c>
    </row>
    <row r="36" spans="1:8" s="11" customFormat="1" ht="20.25" customHeight="1" x14ac:dyDescent="0.2">
      <c r="A36" s="89"/>
      <c r="B36" s="98"/>
      <c r="C36" s="7" t="s">
        <v>28</v>
      </c>
      <c r="D36" s="62">
        <v>281.12</v>
      </c>
    </row>
    <row r="37" spans="1:8" s="11" customFormat="1" ht="22.5" customHeight="1" x14ac:dyDescent="0.2">
      <c r="A37" s="89"/>
      <c r="B37" s="99"/>
      <c r="C37" s="7" t="s">
        <v>29</v>
      </c>
      <c r="D37" s="62">
        <v>3053.15</v>
      </c>
    </row>
    <row r="38" spans="1:8" s="11" customFormat="1" ht="26.25" customHeight="1" x14ac:dyDescent="0.2">
      <c r="A38" s="90"/>
      <c r="B38" s="18" t="s">
        <v>7</v>
      </c>
      <c r="C38" s="9"/>
      <c r="D38" s="16">
        <f>SUM(D33:D37)</f>
        <v>80681.069999999992</v>
      </c>
      <c r="G38" s="19"/>
      <c r="H38" s="19"/>
    </row>
    <row r="39" spans="1:8" s="20" customFormat="1" ht="26.25" customHeight="1" x14ac:dyDescent="0.2">
      <c r="A39" s="82">
        <v>10</v>
      </c>
      <c r="B39" s="77" t="s">
        <v>30</v>
      </c>
      <c r="C39" s="13" t="s">
        <v>31</v>
      </c>
      <c r="D39" s="63">
        <f>7279.87</f>
        <v>7279.87</v>
      </c>
      <c r="G39" s="21"/>
      <c r="H39" s="21"/>
    </row>
    <row r="40" spans="1:8" s="11" customFormat="1" ht="26.25" customHeight="1" x14ac:dyDescent="0.2">
      <c r="A40" s="80"/>
      <c r="B40" s="78"/>
      <c r="C40" s="13" t="s">
        <v>32</v>
      </c>
      <c r="D40" s="65">
        <f>50308.06+442.52</f>
        <v>50750.579999999994</v>
      </c>
      <c r="G40" s="19"/>
      <c r="H40" s="19"/>
    </row>
    <row r="41" spans="1:8" s="11" customFormat="1" ht="19.5" customHeight="1" x14ac:dyDescent="0.2">
      <c r="A41" s="80"/>
      <c r="B41" s="78"/>
      <c r="C41" s="7" t="s">
        <v>6</v>
      </c>
      <c r="D41" s="63">
        <f>45558.5+13849.51+380.33+1316.77</f>
        <v>61105.11</v>
      </c>
      <c r="G41" s="19"/>
      <c r="H41" s="19"/>
    </row>
    <row r="42" spans="1:8" s="11" customFormat="1" ht="20.25" customHeight="1" x14ac:dyDescent="0.2">
      <c r="A42" s="80"/>
      <c r="B42" s="78"/>
      <c r="C42" s="7" t="s">
        <v>22</v>
      </c>
      <c r="D42" s="65">
        <v>73260.62</v>
      </c>
      <c r="G42" s="19"/>
      <c r="H42" s="19"/>
    </row>
    <row r="43" spans="1:8" s="11" customFormat="1" ht="21" customHeight="1" x14ac:dyDescent="0.2">
      <c r="A43" s="81"/>
      <c r="B43" s="18" t="s">
        <v>7</v>
      </c>
      <c r="C43" s="9"/>
      <c r="D43" s="10">
        <f>SUM(D39:D42)</f>
        <v>192396.18</v>
      </c>
      <c r="G43" s="19"/>
    </row>
    <row r="44" spans="1:8" s="11" customFormat="1" ht="22.5" customHeight="1" x14ac:dyDescent="0.2">
      <c r="A44" s="89"/>
      <c r="B44" s="91"/>
      <c r="C44" s="7" t="s">
        <v>6</v>
      </c>
      <c r="D44" s="63">
        <f>56536.81+706.6+5445.95</f>
        <v>62689.359999999993</v>
      </c>
    </row>
    <row r="45" spans="1:8" s="11" customFormat="1" ht="21.75" customHeight="1" x14ac:dyDescent="0.2">
      <c r="A45" s="89"/>
      <c r="B45" s="91"/>
      <c r="C45" s="7" t="s">
        <v>12</v>
      </c>
      <c r="D45" s="63">
        <v>634.29</v>
      </c>
    </row>
    <row r="46" spans="1:8" s="11" customFormat="1" ht="23.25" customHeight="1" x14ac:dyDescent="0.2">
      <c r="A46" s="89"/>
      <c r="B46" s="91"/>
      <c r="C46" s="13" t="s">
        <v>33</v>
      </c>
      <c r="D46" s="63">
        <f>38546.25</f>
        <v>38546.25</v>
      </c>
    </row>
    <row r="47" spans="1:8" s="11" customFormat="1" ht="21.75" customHeight="1" x14ac:dyDescent="0.2">
      <c r="A47" s="90"/>
      <c r="B47" s="18" t="s">
        <v>7</v>
      </c>
      <c r="C47" s="9"/>
      <c r="D47" s="10">
        <f>SUM(D44:D46)</f>
        <v>101869.9</v>
      </c>
    </row>
    <row r="48" spans="1:8" s="11" customFormat="1" ht="21.75" customHeight="1" x14ac:dyDescent="0.2">
      <c r="A48" s="15"/>
      <c r="B48" s="77" t="s">
        <v>34</v>
      </c>
      <c r="C48" s="7" t="s">
        <v>29</v>
      </c>
      <c r="D48" s="62">
        <v>2924.85</v>
      </c>
    </row>
    <row r="49" spans="1:7" s="11" customFormat="1" ht="30.75" customHeight="1" x14ac:dyDescent="0.2">
      <c r="A49" s="24">
        <v>12</v>
      </c>
      <c r="B49" s="79"/>
      <c r="C49" s="7" t="s">
        <v>6</v>
      </c>
      <c r="D49" s="63">
        <f>55790.34+10683.51</f>
        <v>66473.849999999991</v>
      </c>
    </row>
    <row r="50" spans="1:7" s="11" customFormat="1" ht="25.5" customHeight="1" x14ac:dyDescent="0.2">
      <c r="A50" s="25"/>
      <c r="B50" s="8" t="s">
        <v>7</v>
      </c>
      <c r="C50" s="9"/>
      <c r="D50" s="10">
        <f>SUM(D48:D49)+2.49</f>
        <v>69401.19</v>
      </c>
    </row>
    <row r="51" spans="1:7" s="11" customFormat="1" ht="25.5" customHeight="1" x14ac:dyDescent="0.2">
      <c r="A51" s="92">
        <v>13</v>
      </c>
      <c r="B51" s="93" t="s">
        <v>35</v>
      </c>
      <c r="C51" s="26" t="s">
        <v>36</v>
      </c>
      <c r="D51" s="62">
        <f>9800.01+86.2</f>
        <v>9886.2100000000009</v>
      </c>
    </row>
    <row r="52" spans="1:7" s="11" customFormat="1" ht="25.5" customHeight="1" x14ac:dyDescent="0.2">
      <c r="A52" s="89"/>
      <c r="B52" s="91"/>
      <c r="C52" s="26" t="s">
        <v>37</v>
      </c>
      <c r="D52" s="62">
        <f>4860</f>
        <v>4860</v>
      </c>
    </row>
    <row r="53" spans="1:7" s="11" customFormat="1" ht="25.5" customHeight="1" x14ac:dyDescent="0.2">
      <c r="A53" s="89"/>
      <c r="B53" s="91"/>
      <c r="C53" s="26" t="s">
        <v>38</v>
      </c>
      <c r="D53" s="62">
        <f>27756+695.44</f>
        <v>28451.439999999999</v>
      </c>
    </row>
    <row r="54" spans="1:7" s="11" customFormat="1" ht="25.5" customHeight="1" x14ac:dyDescent="0.2">
      <c r="A54" s="89"/>
      <c r="B54" s="91"/>
      <c r="C54" s="7" t="s">
        <v>6</v>
      </c>
      <c r="D54" s="63">
        <f>48661.56+444.96+578.34+4945.32</f>
        <v>54630.179999999993</v>
      </c>
    </row>
    <row r="55" spans="1:7" s="11" customFormat="1" ht="25.5" customHeight="1" x14ac:dyDescent="0.2">
      <c r="A55" s="89"/>
      <c r="B55" s="91"/>
      <c r="C55" s="7" t="s">
        <v>12</v>
      </c>
      <c r="D55" s="63">
        <v>664.06</v>
      </c>
    </row>
    <row r="56" spans="1:7" s="11" customFormat="1" ht="25.5" customHeight="1" x14ac:dyDescent="0.2">
      <c r="A56" s="89"/>
      <c r="B56" s="91"/>
      <c r="C56" s="7" t="s">
        <v>28</v>
      </c>
      <c r="D56" s="63">
        <f>476.75+2700</f>
        <v>3176.75</v>
      </c>
    </row>
    <row r="57" spans="1:7" s="11" customFormat="1" ht="24.75" customHeight="1" x14ac:dyDescent="0.2">
      <c r="A57" s="90"/>
      <c r="B57" s="18" t="s">
        <v>7</v>
      </c>
      <c r="C57" s="9"/>
      <c r="D57" s="10">
        <f>SUM(D51:D56)</f>
        <v>101668.63999999998</v>
      </c>
    </row>
    <row r="58" spans="1:7" s="11" customFormat="1" ht="24.75" customHeight="1" x14ac:dyDescent="0.2">
      <c r="A58" s="92">
        <v>14</v>
      </c>
      <c r="B58" s="27"/>
      <c r="C58" s="7" t="s">
        <v>6</v>
      </c>
      <c r="D58" s="63">
        <f>33939.54+1404+2612.52</f>
        <v>37956.06</v>
      </c>
    </row>
    <row r="59" spans="1:7" s="11" customFormat="1" ht="24.75" customHeight="1" x14ac:dyDescent="0.2">
      <c r="A59" s="89"/>
      <c r="B59" s="17" t="s">
        <v>39</v>
      </c>
      <c r="C59" s="13" t="s">
        <v>40</v>
      </c>
      <c r="D59" s="63">
        <f xml:space="preserve"> 615+281579.76+7055.13</f>
        <v>289249.89</v>
      </c>
    </row>
    <row r="60" spans="1:7" s="11" customFormat="1" ht="25.5" customHeight="1" x14ac:dyDescent="0.2">
      <c r="A60" s="90"/>
      <c r="B60" s="8" t="s">
        <v>7</v>
      </c>
      <c r="C60" s="9"/>
      <c r="D60" s="10">
        <f t="shared" ref="D60" si="1">SUM(D58:D59)</f>
        <v>327205.95</v>
      </c>
      <c r="F60" s="19"/>
      <c r="G60" s="28"/>
    </row>
    <row r="61" spans="1:7" s="11" customFormat="1" ht="27.75" customHeight="1" x14ac:dyDescent="0.2">
      <c r="A61" s="80">
        <v>15</v>
      </c>
      <c r="B61" s="78" t="s">
        <v>41</v>
      </c>
      <c r="C61" s="7" t="s">
        <v>42</v>
      </c>
      <c r="D61" s="66">
        <f>296.6+53387.41+1337.65</f>
        <v>55021.66</v>
      </c>
    </row>
    <row r="62" spans="1:7" s="11" customFormat="1" ht="27.75" customHeight="1" x14ac:dyDescent="0.2">
      <c r="A62" s="80"/>
      <c r="B62" s="78"/>
      <c r="C62" s="7" t="s">
        <v>29</v>
      </c>
      <c r="D62" s="62">
        <v>2845.24</v>
      </c>
    </row>
    <row r="63" spans="1:7" s="11" customFormat="1" ht="19.5" customHeight="1" x14ac:dyDescent="0.2">
      <c r="A63" s="80"/>
      <c r="B63" s="78"/>
      <c r="C63" s="7" t="s">
        <v>12</v>
      </c>
      <c r="D63" s="63">
        <v>648.04999999999995</v>
      </c>
    </row>
    <row r="64" spans="1:7" s="11" customFormat="1" ht="24.75" customHeight="1" x14ac:dyDescent="0.2">
      <c r="A64" s="80"/>
      <c r="B64" s="78"/>
      <c r="C64" s="7" t="s">
        <v>6</v>
      </c>
      <c r="D64" s="63">
        <f>48018.29+7205.57</f>
        <v>55223.86</v>
      </c>
    </row>
    <row r="65" spans="1:8" s="11" customFormat="1" ht="26.25" customHeight="1" x14ac:dyDescent="0.2">
      <c r="A65" s="80"/>
      <c r="B65" s="78"/>
      <c r="C65" s="13" t="s">
        <v>43</v>
      </c>
      <c r="D65" s="67">
        <f>6110.03+53.75</f>
        <v>6163.78</v>
      </c>
    </row>
    <row r="66" spans="1:8" s="11" customFormat="1" ht="19.5" customHeight="1" x14ac:dyDescent="0.2">
      <c r="A66" s="81"/>
      <c r="B66" s="8" t="s">
        <v>7</v>
      </c>
      <c r="C66" s="9"/>
      <c r="D66" s="29">
        <f t="shared" ref="D66" si="2">SUM(D61:D65)</f>
        <v>119902.59</v>
      </c>
    </row>
    <row r="67" spans="1:8" s="11" customFormat="1" ht="19.5" customHeight="1" x14ac:dyDescent="0.2">
      <c r="A67" s="83">
        <v>16</v>
      </c>
      <c r="B67" s="86" t="s">
        <v>44</v>
      </c>
      <c r="C67" s="7" t="s">
        <v>6</v>
      </c>
      <c r="D67" s="63">
        <f>65035.98+11742.3</f>
        <v>76778.28</v>
      </c>
    </row>
    <row r="68" spans="1:8" s="20" customFormat="1" ht="19.5" customHeight="1" x14ac:dyDescent="0.2">
      <c r="A68" s="84"/>
      <c r="B68" s="87"/>
      <c r="C68" s="7" t="s">
        <v>45</v>
      </c>
      <c r="D68" s="63">
        <f>612.71+2583</f>
        <v>3195.71</v>
      </c>
    </row>
    <row r="69" spans="1:8" s="11" customFormat="1" ht="21.75" customHeight="1" x14ac:dyDescent="0.2">
      <c r="A69" s="85"/>
      <c r="B69" s="8" t="s">
        <v>7</v>
      </c>
      <c r="C69" s="9"/>
      <c r="D69" s="30">
        <f>D67+D68</f>
        <v>79973.990000000005</v>
      </c>
    </row>
    <row r="70" spans="1:8" s="11" customFormat="1" ht="27" customHeight="1" x14ac:dyDescent="0.2">
      <c r="A70" s="88"/>
      <c r="B70" s="22" t="s">
        <v>46</v>
      </c>
      <c r="C70" s="7" t="s">
        <v>6</v>
      </c>
      <c r="D70" s="63">
        <f>48938.58+192.78+7970.94</f>
        <v>57102.3</v>
      </c>
      <c r="H70" s="31"/>
    </row>
    <row r="71" spans="1:8" s="11" customFormat="1" ht="19.5" customHeight="1" x14ac:dyDescent="0.2">
      <c r="A71" s="88"/>
      <c r="B71" s="8" t="s">
        <v>7</v>
      </c>
      <c r="C71" s="9"/>
      <c r="D71" s="30">
        <f>SUM(D70:D70)</f>
        <v>57102.3</v>
      </c>
    </row>
    <row r="72" spans="1:8" s="11" customFormat="1" ht="19.5" customHeight="1" x14ac:dyDescent="0.2">
      <c r="A72" s="82">
        <v>18</v>
      </c>
      <c r="B72" s="75" t="s">
        <v>49</v>
      </c>
      <c r="C72" s="13" t="s">
        <v>47</v>
      </c>
      <c r="D72" s="68">
        <f>600+127</f>
        <v>727</v>
      </c>
    </row>
    <row r="73" spans="1:8" s="11" customFormat="1" ht="19.5" customHeight="1" x14ac:dyDescent="0.2">
      <c r="A73" s="80"/>
      <c r="B73" s="76"/>
      <c r="C73" s="13" t="s">
        <v>48</v>
      </c>
      <c r="D73" s="68">
        <v>864</v>
      </c>
    </row>
    <row r="74" spans="1:8" s="11" customFormat="1" ht="29.25" customHeight="1" x14ac:dyDescent="0.2">
      <c r="A74" s="80"/>
      <c r="B74" s="76"/>
      <c r="C74" s="7" t="s">
        <v>6</v>
      </c>
      <c r="D74" s="63">
        <f>60772.14+5854.14</f>
        <v>66626.28</v>
      </c>
    </row>
    <row r="75" spans="1:8" s="11" customFormat="1" ht="15.75" customHeight="1" x14ac:dyDescent="0.2">
      <c r="A75" s="81"/>
      <c r="B75" s="8" t="s">
        <v>7</v>
      </c>
      <c r="C75" s="9"/>
      <c r="D75" s="32">
        <f>SUM(D72:D74)+2.76</f>
        <v>68220.039999999994</v>
      </c>
    </row>
    <row r="76" spans="1:8" s="11" customFormat="1" ht="15.75" customHeight="1" x14ac:dyDescent="0.2">
      <c r="A76" s="82">
        <v>19</v>
      </c>
      <c r="B76" s="77" t="s">
        <v>50</v>
      </c>
      <c r="C76" s="26" t="s">
        <v>38</v>
      </c>
      <c r="D76" s="69">
        <f>18102.93+453.58</f>
        <v>18556.510000000002</v>
      </c>
    </row>
    <row r="77" spans="1:8" s="11" customFormat="1" ht="15.75" customHeight="1" x14ac:dyDescent="0.2">
      <c r="A77" s="80"/>
      <c r="B77" s="78"/>
      <c r="C77" s="26" t="s">
        <v>22</v>
      </c>
      <c r="D77" s="69">
        <v>45892.77</v>
      </c>
    </row>
    <row r="78" spans="1:8" s="11" customFormat="1" ht="24.75" customHeight="1" x14ac:dyDescent="0.2">
      <c r="A78" s="80"/>
      <c r="B78" s="78"/>
      <c r="C78" s="7" t="s">
        <v>6</v>
      </c>
      <c r="D78" s="63">
        <f>40415.93+1035.5</f>
        <v>41451.43</v>
      </c>
    </row>
    <row r="79" spans="1:8" s="11" customFormat="1" ht="35.25" customHeight="1" x14ac:dyDescent="0.2">
      <c r="A79" s="80"/>
      <c r="B79" s="79"/>
      <c r="C79" s="13" t="s">
        <v>27</v>
      </c>
      <c r="D79" s="63">
        <f>846.25+545.82</f>
        <v>1392.0700000000002</v>
      </c>
    </row>
    <row r="80" spans="1:8" s="11" customFormat="1" ht="15.75" customHeight="1" x14ac:dyDescent="0.2">
      <c r="A80" s="81"/>
      <c r="B80" s="8" t="s">
        <v>7</v>
      </c>
      <c r="C80" s="9"/>
      <c r="D80" s="32">
        <f>SUM(D76:D79)+1.99</f>
        <v>107294.77</v>
      </c>
    </row>
    <row r="81" spans="1:6" s="11" customFormat="1" ht="15.75" customHeight="1" x14ac:dyDescent="0.2">
      <c r="A81" s="82">
        <v>20</v>
      </c>
      <c r="B81" s="77" t="s">
        <v>52</v>
      </c>
      <c r="C81" s="26" t="s">
        <v>38</v>
      </c>
      <c r="D81" s="69">
        <f>25357.32+635.34</f>
        <v>25992.66</v>
      </c>
    </row>
    <row r="82" spans="1:6" s="11" customFormat="1" ht="15.75" customHeight="1" x14ac:dyDescent="0.2">
      <c r="A82" s="80"/>
      <c r="B82" s="78"/>
      <c r="C82" s="26" t="s">
        <v>22</v>
      </c>
      <c r="D82" s="69">
        <f>246+59390.29</f>
        <v>59636.29</v>
      </c>
    </row>
    <row r="83" spans="1:6" s="11" customFormat="1" ht="25.5" customHeight="1" x14ac:dyDescent="0.2">
      <c r="A83" s="80"/>
      <c r="B83" s="78"/>
      <c r="C83" s="13" t="s">
        <v>27</v>
      </c>
      <c r="D83" s="63">
        <f>1146.78+739.66</f>
        <v>1886.44</v>
      </c>
    </row>
    <row r="84" spans="1:6" s="11" customFormat="1" ht="25.5" customHeight="1" x14ac:dyDescent="0.2">
      <c r="A84" s="80"/>
      <c r="B84" s="78"/>
      <c r="C84" s="7" t="s">
        <v>6</v>
      </c>
      <c r="D84" s="63">
        <f>44736.3+12316.52+1403.24</f>
        <v>58456.060000000005</v>
      </c>
    </row>
    <row r="85" spans="1:6" s="11" customFormat="1" ht="25.5" customHeight="1" x14ac:dyDescent="0.2">
      <c r="A85" s="80"/>
      <c r="B85" s="79"/>
      <c r="C85" s="13" t="s">
        <v>51</v>
      </c>
      <c r="D85" s="63">
        <f>189392.31+289730.6+12004.69</f>
        <v>491127.6</v>
      </c>
    </row>
    <row r="86" spans="1:6" s="11" customFormat="1" ht="12.75" customHeight="1" x14ac:dyDescent="0.2">
      <c r="A86" s="81"/>
      <c r="B86" s="8" t="s">
        <v>7</v>
      </c>
      <c r="C86" s="33"/>
      <c r="D86" s="34">
        <f t="shared" ref="D86" si="3">SUM(D81:D85)</f>
        <v>637099.05000000005</v>
      </c>
      <c r="F86" s="19"/>
    </row>
    <row r="87" spans="1:6" s="11" customFormat="1" ht="33.75" customHeight="1" x14ac:dyDescent="0.2">
      <c r="A87" s="82">
        <v>21</v>
      </c>
      <c r="B87" s="35" t="s">
        <v>53</v>
      </c>
      <c r="C87" s="7" t="s">
        <v>6</v>
      </c>
      <c r="D87" s="63">
        <f>39566.88+1404+2612.52</f>
        <v>43583.399999999994</v>
      </c>
    </row>
    <row r="88" spans="1:6" s="11" customFormat="1" ht="14.25" customHeight="1" x14ac:dyDescent="0.2">
      <c r="A88" s="81"/>
      <c r="B88" s="8" t="s">
        <v>7</v>
      </c>
      <c r="C88" s="9"/>
      <c r="D88" s="36">
        <f>SUM(D87:D87)</f>
        <v>43583.399999999994</v>
      </c>
    </row>
    <row r="89" spans="1:6" s="11" customFormat="1" ht="31.5" customHeight="1" x14ac:dyDescent="0.2">
      <c r="A89" s="80">
        <v>22</v>
      </c>
      <c r="B89" s="35" t="s">
        <v>54</v>
      </c>
      <c r="C89" s="7" t="s">
        <v>55</v>
      </c>
      <c r="D89" s="70">
        <v>2700</v>
      </c>
    </row>
    <row r="90" spans="1:6" s="11" customFormat="1" ht="15.75" customHeight="1" x14ac:dyDescent="0.2">
      <c r="A90" s="81"/>
      <c r="B90" s="8" t="s">
        <v>7</v>
      </c>
      <c r="C90" s="9"/>
      <c r="D90" s="37">
        <f>SUM(D89:D89)</f>
        <v>2700</v>
      </c>
    </row>
    <row r="91" spans="1:6" s="11" customFormat="1" ht="15.75" customHeight="1" x14ac:dyDescent="0.2">
      <c r="A91" s="82">
        <v>23</v>
      </c>
      <c r="B91" s="77" t="s">
        <v>56</v>
      </c>
      <c r="C91" s="7" t="s">
        <v>12</v>
      </c>
      <c r="D91" s="63">
        <v>933.09</v>
      </c>
    </row>
    <row r="92" spans="1:6" s="11" customFormat="1" ht="27.75" customHeight="1" x14ac:dyDescent="0.2">
      <c r="A92" s="80"/>
      <c r="B92" s="78"/>
      <c r="C92" s="7" t="s">
        <v>6</v>
      </c>
      <c r="D92" s="63">
        <f>77517.2+5098.61</f>
        <v>82615.81</v>
      </c>
    </row>
    <row r="93" spans="1:6" s="11" customFormat="1" ht="27.75" customHeight="1" x14ac:dyDescent="0.2">
      <c r="A93" s="80"/>
      <c r="B93" s="79"/>
      <c r="C93" s="13" t="s">
        <v>57</v>
      </c>
      <c r="D93" s="65">
        <f>38838.2+973.11</f>
        <v>39811.31</v>
      </c>
    </row>
    <row r="94" spans="1:6" s="11" customFormat="1" ht="14.25" customHeight="1" x14ac:dyDescent="0.2">
      <c r="A94" s="81"/>
      <c r="B94" s="8" t="s">
        <v>7</v>
      </c>
      <c r="C94" s="9"/>
      <c r="D94" s="38">
        <f>SUM(D91:D93)+4.05</f>
        <v>123364.26</v>
      </c>
    </row>
    <row r="95" spans="1:6" s="20" customFormat="1" ht="23.25" customHeight="1" x14ac:dyDescent="0.2">
      <c r="A95" s="83">
        <v>24</v>
      </c>
      <c r="B95" s="77" t="s">
        <v>58</v>
      </c>
      <c r="C95" s="13" t="s">
        <v>59</v>
      </c>
      <c r="D95" s="65">
        <v>7398</v>
      </c>
    </row>
    <row r="96" spans="1:6" s="20" customFormat="1" ht="23.25" customHeight="1" x14ac:dyDescent="0.2">
      <c r="A96" s="84"/>
      <c r="B96" s="78"/>
      <c r="C96" s="7" t="s">
        <v>12</v>
      </c>
      <c r="D96" s="63">
        <v>487.91</v>
      </c>
    </row>
    <row r="97" spans="1:7" s="20" customFormat="1" ht="23.25" customHeight="1" x14ac:dyDescent="0.2">
      <c r="A97" s="84"/>
      <c r="B97" s="78"/>
      <c r="C97" s="7" t="s">
        <v>6</v>
      </c>
      <c r="D97" s="63">
        <f>50624.46+3133.62</f>
        <v>53758.080000000002</v>
      </c>
    </row>
    <row r="98" spans="1:7" s="11" customFormat="1" ht="22.5" customHeight="1" thickBot="1" x14ac:dyDescent="0.25">
      <c r="A98" s="85"/>
      <c r="B98" s="39"/>
      <c r="C98" s="9"/>
      <c r="D98" s="40">
        <f>SUM(D95:D97)</f>
        <v>61643.990000000005</v>
      </c>
    </row>
    <row r="99" spans="1:7" s="11" customFormat="1" ht="24" hidden="1" customHeight="1" x14ac:dyDescent="0.2">
      <c r="A99" s="82">
        <v>25</v>
      </c>
      <c r="B99" s="77" t="s">
        <v>60</v>
      </c>
      <c r="C99" s="13" t="s">
        <v>61</v>
      </c>
      <c r="D99" s="23"/>
    </row>
    <row r="100" spans="1:7" s="11" customFormat="1" ht="36.75" hidden="1" customHeight="1" x14ac:dyDescent="0.2">
      <c r="A100" s="80"/>
      <c r="B100" s="79"/>
      <c r="C100" s="7" t="s">
        <v>62</v>
      </c>
      <c r="D100" s="41"/>
    </row>
    <row r="101" spans="1:7" s="11" customFormat="1" ht="27" hidden="1" customHeight="1" thickBot="1" x14ac:dyDescent="0.25">
      <c r="A101" s="73"/>
      <c r="B101" s="42" t="s">
        <v>7</v>
      </c>
      <c r="C101" s="43"/>
      <c r="D101" s="40">
        <f>SUBTOTAL(9,D100:D100)</f>
        <v>0</v>
      </c>
    </row>
    <row r="102" spans="1:7" s="11" customFormat="1" ht="24.75" hidden="1" customHeight="1" thickBot="1" x14ac:dyDescent="0.25">
      <c r="A102" s="72"/>
      <c r="B102" s="44"/>
      <c r="C102" s="7"/>
      <c r="D102" s="41"/>
    </row>
    <row r="103" spans="1:7" s="11" customFormat="1" ht="18.75" hidden="1" customHeight="1" x14ac:dyDescent="0.2">
      <c r="A103" s="73"/>
      <c r="B103" s="42"/>
      <c r="C103" s="43"/>
      <c r="D103" s="40"/>
    </row>
    <row r="104" spans="1:7" s="11" customFormat="1" ht="30" customHeight="1" x14ac:dyDescent="0.2">
      <c r="A104" s="26"/>
      <c r="B104" s="45" t="s">
        <v>63</v>
      </c>
      <c r="C104" s="46"/>
      <c r="D104" s="47">
        <f>D5+D7+D15+D17+D21+D26+D29+D32+D38+D43+D47+D50+D57+D60+D66+D69+D71+D75+D80+D86+D88+D90+D94+D98+D101+D103</f>
        <v>2895163.32</v>
      </c>
    </row>
    <row r="105" spans="1:7" s="51" customFormat="1" ht="18.75" customHeight="1" x14ac:dyDescent="0.2">
      <c r="A105" s="48"/>
      <c r="B105" s="49"/>
      <c r="C105" s="49"/>
      <c r="D105" s="50"/>
      <c r="G105" s="11"/>
    </row>
    <row r="106" spans="1:7" s="11" customFormat="1" ht="27" hidden="1" customHeight="1" x14ac:dyDescent="0.2">
      <c r="A106" s="48"/>
      <c r="B106" s="49"/>
      <c r="C106" s="52"/>
      <c r="D106" s="53"/>
    </row>
    <row r="107" spans="1:7" s="51" customFormat="1" ht="18.75" hidden="1" customHeight="1" x14ac:dyDescent="0.2">
      <c r="A107" s="54" t="s">
        <v>64</v>
      </c>
      <c r="B107" s="55"/>
      <c r="C107" s="56"/>
      <c r="D107" s="57"/>
      <c r="G107" s="11"/>
    </row>
    <row r="108" spans="1:7" s="51" customFormat="1" ht="28.5" customHeight="1" x14ac:dyDescent="0.2">
      <c r="A108" s="54" t="s">
        <v>65</v>
      </c>
      <c r="B108" s="55"/>
      <c r="C108" s="58"/>
      <c r="D108" s="57"/>
    </row>
    <row r="109" spans="1:7" s="51" customFormat="1" ht="21.75" customHeight="1" x14ac:dyDescent="0.2">
      <c r="A109" s="74"/>
      <c r="B109" s="74"/>
      <c r="C109" s="58"/>
      <c r="D109" s="57"/>
    </row>
    <row r="110" spans="1:7" s="51" customFormat="1" ht="11.25" customHeight="1" x14ac:dyDescent="0.2">
      <c r="A110" s="2"/>
      <c r="B110" s="59"/>
      <c r="C110" s="2"/>
      <c r="D110" s="60"/>
    </row>
    <row r="111" spans="1:7" s="51" customFormat="1" ht="13.5" customHeight="1" x14ac:dyDescent="0.2">
      <c r="A111" s="2"/>
      <c r="B111" s="59"/>
      <c r="C111" s="2"/>
      <c r="D111" s="60"/>
    </row>
    <row r="112" spans="1:7" s="51" customFormat="1" x14ac:dyDescent="0.2">
      <c r="A112" s="2"/>
      <c r="B112" s="59"/>
      <c r="C112" s="2"/>
      <c r="D112" s="60"/>
    </row>
    <row r="113" spans="1:7" s="51" customFormat="1" x14ac:dyDescent="0.2">
      <c r="A113" s="2"/>
      <c r="B113" s="59"/>
      <c r="C113" s="2"/>
      <c r="D113" s="60"/>
    </row>
    <row r="114" spans="1:7" x14ac:dyDescent="0.2">
      <c r="D114" s="60"/>
      <c r="G114" s="51"/>
    </row>
    <row r="115" spans="1:7" s="61" customFormat="1" x14ac:dyDescent="0.2">
      <c r="A115" s="2"/>
      <c r="B115" s="59"/>
      <c r="C115" s="2"/>
      <c r="D115" s="60"/>
      <c r="G115" s="2"/>
    </row>
    <row r="116" spans="1:7" s="61" customFormat="1" x14ac:dyDescent="0.2">
      <c r="A116" s="2"/>
      <c r="B116" s="59"/>
      <c r="C116" s="2"/>
      <c r="D116" s="60"/>
    </row>
    <row r="117" spans="1:7" s="61" customFormat="1" x14ac:dyDescent="0.2">
      <c r="A117" s="2"/>
      <c r="B117" s="59"/>
      <c r="C117" s="2"/>
      <c r="D117" s="60"/>
    </row>
    <row r="118" spans="1:7" s="61" customFormat="1" x14ac:dyDescent="0.2">
      <c r="A118" s="2"/>
      <c r="B118" s="59"/>
      <c r="C118" s="2"/>
      <c r="D118" s="60"/>
    </row>
    <row r="119" spans="1:7" s="61" customFormat="1" x14ac:dyDescent="0.2">
      <c r="A119" s="2"/>
      <c r="B119" s="59"/>
      <c r="C119" s="2"/>
      <c r="D119" s="60"/>
    </row>
    <row r="120" spans="1:7" s="61" customFormat="1" x14ac:dyDescent="0.2">
      <c r="A120" s="2"/>
      <c r="B120" s="59"/>
      <c r="C120" s="2"/>
      <c r="D120" s="60"/>
    </row>
    <row r="121" spans="1:7" s="61" customFormat="1" x14ac:dyDescent="0.2">
      <c r="A121" s="2"/>
      <c r="B121" s="59"/>
      <c r="C121" s="2"/>
      <c r="D121" s="2"/>
    </row>
    <row r="122" spans="1:7" s="61" customFormat="1" x14ac:dyDescent="0.2">
      <c r="A122" s="2"/>
      <c r="B122" s="59"/>
      <c r="C122" s="2"/>
      <c r="D122" s="2"/>
    </row>
    <row r="123" spans="1:7" s="61" customFormat="1" x14ac:dyDescent="0.2">
      <c r="A123" s="2"/>
      <c r="B123" s="59"/>
      <c r="C123" s="2"/>
      <c r="D123" s="2"/>
    </row>
    <row r="124" spans="1:7" s="61" customFormat="1" x14ac:dyDescent="0.2">
      <c r="A124" s="2"/>
      <c r="B124" s="59"/>
      <c r="C124" s="2"/>
      <c r="D124" s="2"/>
    </row>
    <row r="125" spans="1:7" x14ac:dyDescent="0.2">
      <c r="G125" s="61"/>
    </row>
  </sheetData>
  <mergeCells count="45">
    <mergeCell ref="A16:A17"/>
    <mergeCell ref="A2:D2"/>
    <mergeCell ref="A4:A5"/>
    <mergeCell ref="A6:A7"/>
    <mergeCell ref="A8:A15"/>
    <mergeCell ref="B8:B14"/>
    <mergeCell ref="B18:B20"/>
    <mergeCell ref="A20:A21"/>
    <mergeCell ref="A22:A26"/>
    <mergeCell ref="B22:B25"/>
    <mergeCell ref="A27:A29"/>
    <mergeCell ref="B27:B28"/>
    <mergeCell ref="A58:A60"/>
    <mergeCell ref="A30:A32"/>
    <mergeCell ref="B30:B31"/>
    <mergeCell ref="A33:A38"/>
    <mergeCell ref="B33:B37"/>
    <mergeCell ref="A39:A43"/>
    <mergeCell ref="B39:B42"/>
    <mergeCell ref="A44:A47"/>
    <mergeCell ref="B44:B46"/>
    <mergeCell ref="B48:B49"/>
    <mergeCell ref="A51:A57"/>
    <mergeCell ref="B51:B56"/>
    <mergeCell ref="A61:A66"/>
    <mergeCell ref="B61:B65"/>
    <mergeCell ref="A67:A69"/>
    <mergeCell ref="B67:B68"/>
    <mergeCell ref="A70:A71"/>
    <mergeCell ref="A102:A103"/>
    <mergeCell ref="A109:B109"/>
    <mergeCell ref="B72:B74"/>
    <mergeCell ref="B91:B93"/>
    <mergeCell ref="A89:A90"/>
    <mergeCell ref="A91:A94"/>
    <mergeCell ref="A95:A98"/>
    <mergeCell ref="B95:B97"/>
    <mergeCell ref="A99:A101"/>
    <mergeCell ref="B99:B100"/>
    <mergeCell ref="A72:A75"/>
    <mergeCell ref="A76:A80"/>
    <mergeCell ref="B76:B79"/>
    <mergeCell ref="A81:A86"/>
    <mergeCell ref="B81:B85"/>
    <mergeCell ref="A87:A88"/>
  </mergeCells>
  <printOptions horizontalCentered="1"/>
  <pageMargins left="0.78740157480314965" right="0.19685039370078741" top="0.39370078740157483" bottom="0.19685039370078741" header="0.51181102362204722" footer="0.51181102362204722"/>
  <pageSetup paperSize="9" scale="70" fitToWidth="0" fitToHeight="0" orientation="portrait" copies="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plan 2025 wyk. 31.12</vt:lpstr>
      <vt:lpstr>'plan 2025 wyk. 31.12'!Obszar_wydruku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Matuszak</dc:creator>
  <cp:lastModifiedBy>Wioletta Matuszak</cp:lastModifiedBy>
  <dcterms:created xsi:type="dcterms:W3CDTF">2026-06-18T07:42:41Z</dcterms:created>
  <dcterms:modified xsi:type="dcterms:W3CDTF">2026-06-18T08:21:04Z</dcterms:modified>
</cp:coreProperties>
</file>