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230" windowHeight="5145" firstSheet="1" activeTab="1"/>
  </bookViews>
  <sheets>
    <sheet name="Arkusz1" sheetId="1" state="hidden" r:id="rId1"/>
    <sheet name="plan 2023" sheetId="2" r:id="rId2"/>
    <sheet name="REALIZ REMONTÓW ZA 2019" sheetId="3" state="hidden" r:id="rId3"/>
  </sheets>
  <definedNames>
    <definedName name="_xlnm.Print_Area" localSheetId="1">'plan 2023'!$A$1:$C$204</definedName>
    <definedName name="_xlnm.Print_Area" localSheetId="2">'REALIZ REMONTÓW ZA 2019'!$A$1:$G$314</definedName>
    <definedName name="_xlnm.Print_Titles" localSheetId="0">'Arkusz1'!$4:$4</definedName>
    <definedName name="_xlnm.Print_Titles" localSheetId="1">'plan 2023'!$1:$1</definedName>
    <definedName name="_xlnm.Print_Titles" localSheetId="2">'REALIZ REMONTÓW ZA 2019'!$1:$1</definedName>
  </definedNames>
  <calcPr fullCalcOnLoad="1"/>
</workbook>
</file>

<file path=xl/comments1.xml><?xml version="1.0" encoding="utf-8"?>
<comments xmlns="http://schemas.openxmlformats.org/spreadsheetml/2006/main">
  <authors>
    <author>...</author>
    <author>SM w Stargardzie</author>
    <author>j</author>
  </authors>
  <commentList>
    <comment ref="F107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ogłoszenie balkony</t>
        </r>
      </text>
    </comment>
    <comment ref="F120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ogloszenia balkony</t>
        </r>
      </text>
    </comment>
    <comment ref="F121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lokale 245,13</t>
        </r>
      </text>
    </comment>
    <comment ref="F130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8/9,</t>
        </r>
      </text>
    </comment>
    <comment ref="F134" authorId="1">
      <text>
        <r>
          <rPr>
            <b/>
            <sz val="8"/>
            <rFont val="Tahoma"/>
            <family val="2"/>
          </rPr>
          <t>SM w Stargardzie:</t>
        </r>
        <r>
          <rPr>
            <sz val="8"/>
            <rFont val="Tahoma"/>
            <family val="2"/>
          </rPr>
          <t xml:space="preserve">
uszczelnienie łączeń płyt przed dociepleniem-33,37 budki leg.-523,24
eksp. Orn. -599,84, usł. Alpinistyczne 286,74</t>
        </r>
      </text>
    </comment>
    <comment ref="F139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ogloszenie balkony</t>
        </r>
      </text>
    </comment>
    <comment ref="F144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ogloszenie balkony</t>
        </r>
      </text>
    </comment>
    <comment ref="F163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Ogloszenie-98,4</t>
        </r>
      </text>
    </comment>
    <comment ref="F165" authorId="1">
      <text>
        <r>
          <rPr>
            <b/>
            <sz val="8"/>
            <rFont val="Tahoma"/>
            <family val="2"/>
          </rPr>
          <t>SM w Stargardzie:</t>
        </r>
        <r>
          <rPr>
            <sz val="8"/>
            <rFont val="Tahoma"/>
            <family val="2"/>
          </rPr>
          <t xml:space="preserve">
termozawory w mieszkaniu</t>
        </r>
      </text>
    </comment>
    <comment ref="F172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ogloszenia </t>
        </r>
      </text>
    </comment>
    <comment ref="F176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budki lęgowe-519,83
eksp.orn. -595,92
</t>
        </r>
      </text>
    </comment>
    <comment ref="F187" authorId="2">
      <text>
        <r>
          <rPr>
            <b/>
            <sz val="10"/>
            <rFont val="Tahoma"/>
            <family val="2"/>
          </rPr>
          <t>j:</t>
        </r>
        <r>
          <rPr>
            <sz val="10"/>
            <rFont val="Tahoma"/>
            <family val="2"/>
          </rPr>
          <t xml:space="preserve">
stolarka okienna</t>
        </r>
      </text>
    </comment>
    <comment ref="C195" authorId="0">
      <text>
        <r>
          <rPr>
            <b/>
            <sz val="10"/>
            <rFont val="Tahoma"/>
            <family val="2"/>
          </rPr>
          <t>...:</t>
        </r>
        <r>
          <rPr>
            <sz val="10"/>
            <rFont val="Tahoma"/>
            <family val="2"/>
          </rPr>
          <t xml:space="preserve">
umowa nr 69/OSM/2011        (płatne w 2012r.)</t>
        </r>
      </text>
    </comment>
    <comment ref="F284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ogłoszenie balkony</t>
        </r>
      </text>
    </comment>
    <comment ref="F296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ogloszenia balkony</t>
        </r>
      </text>
    </comment>
    <comment ref="F308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8/9,</t>
        </r>
      </text>
    </comment>
    <comment ref="F312" authorId="1">
      <text>
        <r>
          <rPr>
            <b/>
            <sz val="8"/>
            <rFont val="Tahoma"/>
            <family val="2"/>
          </rPr>
          <t>SM w Stargardzie:</t>
        </r>
        <r>
          <rPr>
            <sz val="8"/>
            <rFont val="Tahoma"/>
            <family val="2"/>
          </rPr>
          <t xml:space="preserve">
uszczelnienie łączeń płyt przed dociepleniem-33,37 budki leg.-523,24
eksp. Orn. -599,84, usł. Alpinistyczne 286,74</t>
        </r>
      </text>
    </comment>
    <comment ref="F321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ogloszenie balkony</t>
        </r>
      </text>
    </comment>
    <comment ref="F325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ogloszenie balkony</t>
        </r>
      </text>
    </comment>
    <comment ref="F350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Ogloszenie-98,4</t>
        </r>
      </text>
    </comment>
    <comment ref="F351" authorId="1">
      <text>
        <r>
          <rPr>
            <b/>
            <sz val="8"/>
            <rFont val="Tahoma"/>
            <family val="2"/>
          </rPr>
          <t>SM w Stargardzie:</t>
        </r>
        <r>
          <rPr>
            <sz val="8"/>
            <rFont val="Tahoma"/>
            <family val="2"/>
          </rPr>
          <t xml:space="preserve">
termozawory w mieszkaniu</t>
        </r>
      </text>
    </comment>
    <comment ref="F360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ogloszenia </t>
        </r>
      </text>
    </comment>
  </commentList>
</comments>
</file>

<file path=xl/comments3.xml><?xml version="1.0" encoding="utf-8"?>
<comments xmlns="http://schemas.openxmlformats.org/spreadsheetml/2006/main">
  <authors>
    <author>Janka</author>
    <author>SM</author>
  </authors>
  <commentList>
    <comment ref="E86" authorId="0">
      <text>
        <r>
          <rPr>
            <b/>
            <sz val="9"/>
            <rFont val="Tahoma"/>
            <family val="2"/>
          </rPr>
          <t>Janka:</t>
        </r>
        <r>
          <rPr>
            <sz val="9"/>
            <rFont val="Tahoma"/>
            <family val="2"/>
          </rPr>
          <t xml:space="preserve">
15,25-zajęcie pasa drogowego</t>
        </r>
      </text>
    </comment>
    <comment ref="E111" authorId="0">
      <text>
        <r>
          <rPr>
            <b/>
            <sz val="9"/>
            <rFont val="Tahoma"/>
            <family val="2"/>
          </rPr>
          <t>Janka:</t>
        </r>
        <r>
          <rPr>
            <sz val="9"/>
            <rFont val="Tahoma"/>
            <family val="2"/>
          </rPr>
          <t xml:space="preserve">
1230-ekspertyza ornitologiczna
101,30+42,37-zajęcie pasa drogowego
</t>
        </r>
      </text>
    </comment>
    <comment ref="E6" authorId="1">
      <text>
        <r>
          <rPr>
            <b/>
            <sz val="9"/>
            <rFont val="Tahoma"/>
            <family val="2"/>
          </rPr>
          <t>SM:</t>
        </r>
        <r>
          <rPr>
            <sz val="9"/>
            <rFont val="Tahoma"/>
            <family val="2"/>
          </rPr>
          <t xml:space="preserve">
e/10-2192,40</t>
        </r>
      </text>
    </comment>
  </commentList>
</comments>
</file>

<file path=xl/sharedStrings.xml><?xml version="1.0" encoding="utf-8"?>
<sst xmlns="http://schemas.openxmlformats.org/spreadsheetml/2006/main" count="1511" uniqueCount="431">
  <si>
    <t>Lp</t>
  </si>
  <si>
    <t>Adres nieruchomości</t>
  </si>
  <si>
    <t>Realizacja</t>
  </si>
  <si>
    <t xml:space="preserve">Koszt robót remontowych </t>
  </si>
  <si>
    <t xml:space="preserve"> REALIZACJA PLANU REMONTÓW OSIEDLA STARE MISATO ZA I KWARTAŁ 2012 ROK</t>
  </si>
  <si>
    <t>wg stanu na dzień 31.03.2012</t>
  </si>
  <si>
    <t>Różnica</t>
  </si>
  <si>
    <t xml:space="preserve">Wartość prac remontowych - zgodnie z planem remontów </t>
  </si>
  <si>
    <t xml:space="preserve">Planowane  remonty </t>
  </si>
  <si>
    <t>razem</t>
  </si>
  <si>
    <t>dach</t>
  </si>
  <si>
    <t>rynny</t>
  </si>
  <si>
    <t>zrealizowane</t>
  </si>
  <si>
    <t>w trakcie realizacji</t>
  </si>
  <si>
    <t>do realizacji</t>
  </si>
  <si>
    <t>rezerwa</t>
  </si>
  <si>
    <t>według potrzeb</t>
  </si>
  <si>
    <t>Bolesława Krzywoustego 2</t>
  </si>
  <si>
    <t>Kazimierza Wielkiego 7</t>
  </si>
  <si>
    <t>Porozumienia - wymiana stolarki okiennej a/19; c/5; b/21, 24; c/24; b/14, 20</t>
  </si>
  <si>
    <t>Kazimierza Wielkiego 11</t>
  </si>
  <si>
    <t>Kazimierza Wielkiego 15</t>
  </si>
  <si>
    <t>Bolesława Krzywoustego 3</t>
  </si>
  <si>
    <t>Bolesława Krzywoustego 4</t>
  </si>
  <si>
    <t>Bolesława Krzywoustego 5</t>
  </si>
  <si>
    <t>Bolesława Krzywoustego 6</t>
  </si>
  <si>
    <t>Bolesława Krzywoustego 7</t>
  </si>
  <si>
    <t>Bolesława Krzywoustego 9</t>
  </si>
  <si>
    <t>Bolesława Krzywoustego 11</t>
  </si>
  <si>
    <t>Strażnicza 1</t>
  </si>
  <si>
    <t>Strażnicza 2</t>
  </si>
  <si>
    <t>Strażnicza 3</t>
  </si>
  <si>
    <t>Strażnicza 4</t>
  </si>
  <si>
    <t>Strażnicza 5</t>
  </si>
  <si>
    <t>Portowa 1 - 2</t>
  </si>
  <si>
    <t>Porozumienia - wymiana stolarki okiennej a/22;c/2; d/21</t>
  </si>
  <si>
    <t>remont chodników</t>
  </si>
  <si>
    <t>w realizacji</t>
  </si>
  <si>
    <t>Malowanie klatek schodowych - kontynuacja robót z 2011r. zwiększono kwotę o 1000,00 zł</t>
  </si>
  <si>
    <t>Podnośnik</t>
  </si>
  <si>
    <t>Porozumienia - wymiana stolarki okiennej b/1, 10, 7, 8; a/2</t>
  </si>
  <si>
    <t>modernizacja instalacji kanalizacyjnej</t>
  </si>
  <si>
    <t xml:space="preserve">miejscowa naprawa pokrycia z folii </t>
  </si>
  <si>
    <t>wymiana naświetla</t>
  </si>
  <si>
    <t>wymiana rynny i rur spustowych od ulicy</t>
  </si>
  <si>
    <t xml:space="preserve">Porozumienia - wymiana stolarki okiennej c/2; a/6; c/13; a/4; a/10; b/6; a/2 </t>
  </si>
  <si>
    <t>Porozumienia - wymiana stolarki okiennej 25; 12; 19; 3; 2</t>
  </si>
  <si>
    <t>wymiana i rynny i rur spustowych od ulicy</t>
  </si>
  <si>
    <t>Wymiana drzwi wejściowych z naświetlem</t>
  </si>
  <si>
    <t>Porozumienia - wymiana stolarki okiennej b/12 /2011/</t>
  </si>
  <si>
    <t>Roboty nieprzewidziane</t>
  </si>
  <si>
    <t xml:space="preserve">Docieplenie cokołu + klinkier </t>
  </si>
  <si>
    <t>Remont zejścia do piwnicy</t>
  </si>
  <si>
    <t>Porozumienia - wymiana stolarki okiennej (2011r.-a/3; c/12) b/3; b/7; b/13; c/5; a/4</t>
  </si>
  <si>
    <t>Remont dachu E-F /przeniesiono 2011/</t>
  </si>
  <si>
    <t>Remont dachu A-D /zawarta umowa/</t>
  </si>
  <si>
    <t>Miejscowa naprawa folii na lukarnach</t>
  </si>
  <si>
    <t>Porozumienia - wymiana stolarki okiennej                                   (2011r-1 a/12)</t>
  </si>
  <si>
    <t xml:space="preserve">Docieplenie szczytu 2 A </t>
  </si>
  <si>
    <t>Miejscowa naprawa pokrycia z folii</t>
  </si>
  <si>
    <t>Malowanie klatki schodowej /2011/</t>
  </si>
  <si>
    <t>Docieplenie fragmentu ściany nad garażami - zmniejszono kwotę</t>
  </si>
  <si>
    <t>Ułożenie płytek klinkierowych przy wejściu wraz z przeniesieniem domofonu</t>
  </si>
  <si>
    <t>Porozumienia - wymiana stolarki okiennej - 9</t>
  </si>
  <si>
    <t>Modernizacja instalacji kanalizacyjnej</t>
  </si>
  <si>
    <t>Porozumienia - wymiana stolarki okiennej  20, 19, 4</t>
  </si>
  <si>
    <t xml:space="preserve">Montaż lampy wysięgnikowej na szczycie budynku od strony ul. Bolesława Krzywoustego </t>
  </si>
  <si>
    <t xml:space="preserve">Porozumienia - wymiana stolarki okiennej  18 </t>
  </si>
  <si>
    <t>Porozumienia - wymiana stolarki okiennej:  1, 18</t>
  </si>
  <si>
    <t xml:space="preserve">Porozumienia - wymiana stolarki okiennej:  19 </t>
  </si>
  <si>
    <t xml:space="preserve">Porozumienia - wymiana stolarki okiennej                         (2011r. - a/9; b/13) c/8; d/14 </t>
  </si>
  <si>
    <r>
      <t>Wymiana poliwęglanu w daszkach wejściowych</t>
    </r>
    <r>
      <rPr>
        <b/>
        <sz val="12"/>
        <rFont val="Times New Roman"/>
        <family val="1"/>
      </rPr>
      <t xml:space="preserve"> </t>
    </r>
  </si>
  <si>
    <t>Remont piwnic kl. D  /płatność 70%/</t>
  </si>
  <si>
    <t>zrealizowane 2011 płatność do 06/2012</t>
  </si>
  <si>
    <t>Kopernika 4</t>
  </si>
  <si>
    <t>wymiana pionów zw</t>
  </si>
  <si>
    <t>zrealizowane 2011-platność czerwiec 2012</t>
  </si>
  <si>
    <t xml:space="preserve">wymiana pionów kanalizacji </t>
  </si>
  <si>
    <t>zrealizowane 2011-platność grudzień 2012</t>
  </si>
  <si>
    <t xml:space="preserve">wymiana stolarki okiennej -porozumienie 4D/9, 4A/5                </t>
  </si>
  <si>
    <t>Kopernika 5</t>
  </si>
  <si>
    <t xml:space="preserve">wymiana stolarki okiennej -porozumienie  5A/3               </t>
  </si>
  <si>
    <t>Kopernika 6</t>
  </si>
  <si>
    <t>remont balkonów</t>
  </si>
  <si>
    <t xml:space="preserve">wymiana stolarki okiennej -porozumienie 6E/10, 6E/4, 6B/10, 6B/8, 6F/8                </t>
  </si>
  <si>
    <t>Kopernika 7</t>
  </si>
  <si>
    <t xml:space="preserve">wymiana stolarki okiennej -porozumienie  7D/8, 7A/1               </t>
  </si>
  <si>
    <t>Kopernika 8</t>
  </si>
  <si>
    <t xml:space="preserve">wymiana stolarki okiennej -porozumienie  8A/8, 8B/8               </t>
  </si>
  <si>
    <t>Kopernika 9</t>
  </si>
  <si>
    <t>naprawa pokrycia nad usługami</t>
  </si>
  <si>
    <t xml:space="preserve">wymiana stolarki okiennej -porozumienie 9A/7, 9B/6                 </t>
  </si>
  <si>
    <t>Piłsudskiego 39</t>
  </si>
  <si>
    <t xml:space="preserve">wymiana stolarki okiennej -porozumienie  39/2, 39/12, 39/9               </t>
  </si>
  <si>
    <t>Prusa 6-18</t>
  </si>
  <si>
    <t>uszczelnienie złącz płyt</t>
  </si>
  <si>
    <t xml:space="preserve">wymiana stolarki okiennej -porozumienie 6/10, 16/1,12/6, 18/9                </t>
  </si>
  <si>
    <t>zagospod. terenu - ustawienie ławek</t>
  </si>
  <si>
    <t>Prusa 7-11</t>
  </si>
  <si>
    <t>docieplenie budynku                       płatność w 2012r - 80%</t>
  </si>
  <si>
    <t xml:space="preserve">wymiana stolarki okiennej -porozumienie  7/'9, 9/1               </t>
  </si>
  <si>
    <t>Sucharskiego 3</t>
  </si>
  <si>
    <t>Wojska Polskiego 55</t>
  </si>
  <si>
    <t>uszczelnienia złączy płyt</t>
  </si>
  <si>
    <t>Wojska Polskiego 79-83</t>
  </si>
  <si>
    <t>remont pasa nadrynnowego, rynny i montaż systemu grzewczego w rynnie - od strony ulicy</t>
  </si>
  <si>
    <t>podnośnik</t>
  </si>
  <si>
    <t>legalizacja ciepłomierzy</t>
  </si>
  <si>
    <t>Żeromskiego 1</t>
  </si>
  <si>
    <t xml:space="preserve">wymiana stolarki okiennej -porozumienie 1E/10, 1A/2, 1C/1, 1D/4, 1F/7               </t>
  </si>
  <si>
    <t>Żeromskiego 2</t>
  </si>
  <si>
    <t xml:space="preserve">wymiana stolarki okiennej -porozumienie 2A/14, 2A/1,  2A/3, 2A/9             </t>
  </si>
  <si>
    <t>Żeromskiego 3</t>
  </si>
  <si>
    <t>miejscowa naprawa pokrycia dachu</t>
  </si>
  <si>
    <t xml:space="preserve">remont dachu 3D,E,F             </t>
  </si>
  <si>
    <t xml:space="preserve">wymiana stolarki okiennej -porozumienie 3C/6, 3D/2, 3A/8, 3F/7        </t>
  </si>
  <si>
    <t>Żeromskiego 4</t>
  </si>
  <si>
    <t xml:space="preserve">wymiana stolarki okiennej -porozumienie 4B/2, 4B/10, 4C/3, 4A/8            </t>
  </si>
  <si>
    <t>Żeromskiego 6</t>
  </si>
  <si>
    <t>uszczelnienia styków płyt</t>
  </si>
  <si>
    <t xml:space="preserve">remont balkonów </t>
  </si>
  <si>
    <t>Żeromskiego 8</t>
  </si>
  <si>
    <t xml:space="preserve">wymiana stolarki okiennej -porozumienie  8A/9              </t>
  </si>
  <si>
    <t>Dworcowa 16</t>
  </si>
  <si>
    <t>naprawa, czyszczenie poziomów kanalizacyjnych</t>
  </si>
  <si>
    <t>wymiana st.okiennej w mieszkaniach - porozum. B/10, A/9, B/5</t>
  </si>
  <si>
    <t>roboty nieprzewidziane</t>
  </si>
  <si>
    <t>Grodzka 8</t>
  </si>
  <si>
    <t xml:space="preserve">założenie kolców na ptaki na dachu </t>
  </si>
  <si>
    <t xml:space="preserve">wykonanie posadzki w wózkowni </t>
  </si>
  <si>
    <t>Kwiatowa 3</t>
  </si>
  <si>
    <t>ogrodzenie ogródków</t>
  </si>
  <si>
    <t>wymiana st.okiennej w mieszkaniach - porozum. A/3, E/3, D/3</t>
  </si>
  <si>
    <t>środki gromadzone na remont kominów i inne nieprzewidziane</t>
  </si>
  <si>
    <t>Łokietka 5</t>
  </si>
  <si>
    <t>wymiana st.okiennej w mieszkaniach - porozum. C/3, C/11, B/11</t>
  </si>
  <si>
    <t>środki gromadzone na wymiane rynien i rur spustowych i roboty nieprzewidziane</t>
  </si>
  <si>
    <t xml:space="preserve">remont drzwiczek w szachtach instalacyjnych             </t>
  </si>
  <si>
    <t>Pocztowa 4</t>
  </si>
  <si>
    <t>usunięcie glonów z elewacji</t>
  </si>
  <si>
    <t xml:space="preserve">remont kominów </t>
  </si>
  <si>
    <t>Pocztowa 6</t>
  </si>
  <si>
    <t>malowanie klatek schodowych</t>
  </si>
  <si>
    <t>wymiana wyłazu dachowego</t>
  </si>
  <si>
    <t>wymiana st.okiennej w mieszkaniach - porozum. A/8, B/2, A/4, A/10</t>
  </si>
  <si>
    <t>Pocztowa 8</t>
  </si>
  <si>
    <t xml:space="preserve">remont pokrycia dachowego </t>
  </si>
  <si>
    <t>rezerwa (roboty nieprzewidziane)</t>
  </si>
  <si>
    <t>Reja 1</t>
  </si>
  <si>
    <t>dokumentacja zagospodarowania terenu</t>
  </si>
  <si>
    <t>Wymiana st.okiennej w mieszkaniach - porozum. A/10, B/14, D/14, C/11, B/13, C/13, D/11</t>
  </si>
  <si>
    <t>roboty nieprzewidziane + zastępcze usunięcie ubytków elewacji</t>
  </si>
  <si>
    <t>Reja 2</t>
  </si>
  <si>
    <t>Wymiana st.okiennej w mieszkaniach - porozum. A/14, A/19, A/11</t>
  </si>
  <si>
    <t>roboty nieprzewidziane (na zagosp. terenu)</t>
  </si>
  <si>
    <t>Słowackiego 1</t>
  </si>
  <si>
    <t>roboty nieprzewidziane - środki gromadzone na remont dachu</t>
  </si>
  <si>
    <t>Słowackiego 3</t>
  </si>
  <si>
    <t>Sienkiewicza 6</t>
  </si>
  <si>
    <t>miejscowa naprawa dachu</t>
  </si>
  <si>
    <t>wymiana st.okiennej w mieszkaniach - porozum. - 6/11, 6/25, 6/19, 6/21, 6/60, 6/37</t>
  </si>
  <si>
    <t xml:space="preserve">opracowanie projektowe dla wewnętrznych instalacji wodnych p.poż i instalacji hydroforowych </t>
  </si>
  <si>
    <t>wymiana drzwi na hoolu X piętro</t>
  </si>
  <si>
    <t>roboty nieprzewidziane (środki gromadzona na wykonanie instalacji p.poż i hydrantowej)</t>
  </si>
  <si>
    <t>Szewska 3</t>
  </si>
  <si>
    <t>Remont altanek śmietnikowych (posadzka, drzwi, dojazd, docieplenie i odbój)</t>
  </si>
  <si>
    <t>wymiana st.okiennej w mieszkaniach - porozum. -3/12, 3/20, 3/52,  3/60,                  3/6</t>
  </si>
  <si>
    <t>przebudowa przystosowanie kiosku dla osób niepełnosprawnych dokumentacja +wykonanie</t>
  </si>
  <si>
    <t>Szewska 4</t>
  </si>
  <si>
    <t xml:space="preserve">przebudowa przystosowanie kiosku dla osób niepełnosprawnych dokumentacja +wykonanie </t>
  </si>
  <si>
    <t xml:space="preserve">montaż czujników ruchu w korytarzach przy mieszkaniach </t>
  </si>
  <si>
    <t>wymiana tablic sterowych (zalecenie UDT)</t>
  </si>
  <si>
    <t>Szewska 6</t>
  </si>
  <si>
    <t>wymiana st.okiennej w mieszkaniach - porozum. 6/29, 6/2</t>
  </si>
  <si>
    <t>naprawa okleiny na suficie kabin (zalecenie UDT)</t>
  </si>
  <si>
    <t>Szewska 8</t>
  </si>
  <si>
    <t>Remont altanek śmietnikowych (posadzka, drzwi, dojazd)</t>
  </si>
  <si>
    <t>wymiana st.okiennej w mieszkaniach - porozum. - 8/50, 8/32, 8/38, 8/45,  8/34, 8/6, 8/18, 8/46</t>
  </si>
  <si>
    <t xml:space="preserve">docieplenie ściany zsypu na najniższej kondygnacji 8/6 </t>
  </si>
  <si>
    <t>przebudowa przystosowanie kiosku dla osób niepełnosprawnych dokumentacja + wykonanie</t>
  </si>
  <si>
    <t>Szewska 10</t>
  </si>
  <si>
    <t>wymiana zespołu ślimaka-ślimacznicy (zalecenie UDT)</t>
  </si>
  <si>
    <t>Złotników 3</t>
  </si>
  <si>
    <t>wymiana pionów kanalizacji w mieszkaniach</t>
  </si>
  <si>
    <t>wymiana pionów zw w mieszkaniach</t>
  </si>
  <si>
    <t>wykonanie nasady kominowej w mieszkaniu A/10</t>
  </si>
  <si>
    <t>Złotników 5</t>
  </si>
  <si>
    <t>malowanie klatek - uczniowie</t>
  </si>
  <si>
    <t>roboty nieprzewidziane i środki zbierane na remont wejść</t>
  </si>
  <si>
    <t>Złotników 7</t>
  </si>
  <si>
    <t>docieplenie stropów piwnic</t>
  </si>
  <si>
    <t xml:space="preserve">wymiana st.okiennej w mieszkaniach - porozum. - A/1, A/6, A/4 </t>
  </si>
  <si>
    <t>roboty nieprzewidziane i zbierane na remont piwnic wraz i instalacją elektryczną</t>
  </si>
  <si>
    <t>Chrobrego 3</t>
  </si>
  <si>
    <t>zrealizowano- płatność maj</t>
  </si>
  <si>
    <t xml:space="preserve">Porozumienia na stolarkę okienną - b/7 </t>
  </si>
  <si>
    <t>Roboty nieprzewidziane - środki gromadzone na kontynuację remontu lukarn</t>
  </si>
  <si>
    <t>Chrobrego5</t>
  </si>
  <si>
    <t>Wykonanie poręczy przy wejściach</t>
  </si>
  <si>
    <t>Roboty nieprzewidziane - śr.gromadzone na remont lukarn - od strony bud. Nr 3</t>
  </si>
  <si>
    <t>Chrobrego 7</t>
  </si>
  <si>
    <t>Remont wejść do budynków</t>
  </si>
  <si>
    <t>Porozumienia na stolarkę okienną - c/10</t>
  </si>
  <si>
    <t>Roboty nieprzewidziane - śr.gromadzone na remont chodnika</t>
  </si>
  <si>
    <t>Chrobrego 9</t>
  </si>
  <si>
    <t>Remont instalacji kanalizacyjnej</t>
  </si>
  <si>
    <t>Porozumienia na stolarkę okienną - 11</t>
  </si>
  <si>
    <t>Remont wejść do budynku (z 2011)</t>
  </si>
  <si>
    <t>Roboty nieprzewidziane - środki gromadzone na remont chodnika</t>
  </si>
  <si>
    <t>Chrobrego 11</t>
  </si>
  <si>
    <t>wykonanie odkrywki przestrzeni stopodachu</t>
  </si>
  <si>
    <t>zrealizowano- płatność kwiecień</t>
  </si>
  <si>
    <t>docieplenie przestrzeni stropodachu</t>
  </si>
  <si>
    <t>brak konieczności wykonania</t>
  </si>
  <si>
    <t>Chrobrego 13</t>
  </si>
  <si>
    <t>Remont inst.kanalizacyjnej</t>
  </si>
  <si>
    <t>Roboty nieprzewidziane - środki gromadzone na remonty w latach kolejnych</t>
  </si>
  <si>
    <t>Chrobrego 15</t>
  </si>
  <si>
    <t>Remont kominów</t>
  </si>
  <si>
    <t>Wymiana centralki domofonowej</t>
  </si>
  <si>
    <t>Remont wejścia do budynku (z 2011)</t>
  </si>
  <si>
    <t>Roboty nieprzewidziane - środki gromadzone na remont nadbudówki i miejscową naprawę pokrycia</t>
  </si>
  <si>
    <t>Klasztorna 1</t>
  </si>
  <si>
    <t>Porozumienia na stolarkę okienną - 16</t>
  </si>
  <si>
    <t>Remont kominów - podwyższenie wraz z dociepleniem podwyższonej części</t>
  </si>
  <si>
    <t>Klasztorna 3</t>
  </si>
  <si>
    <t>Remont chodnika przed wejściem</t>
  </si>
  <si>
    <t>Remont chodnika dojście do osłony śmietnikowej</t>
  </si>
  <si>
    <t>Roboty nieprzewidziane - środki gromadzone na remont wejścia do budynku - okładzina z klinkieru wymiana kasety domofonowej</t>
  </si>
  <si>
    <t>Kwiatowa 1</t>
  </si>
  <si>
    <t>Dokumentacja na wym.inst.p.poż.</t>
  </si>
  <si>
    <t>Roboty nieprzewidziane - środki gromadzone na modernizację inst.p.poż.</t>
  </si>
  <si>
    <t>Limanowskiego 28</t>
  </si>
  <si>
    <t>Modernizacja inst.kanalizacyjnej</t>
  </si>
  <si>
    <t>Remont tablicy administracyjnej (z 2011)</t>
  </si>
  <si>
    <t>zrealizowano - płatności maj</t>
  </si>
  <si>
    <t>remont pokrycia dachowego</t>
  </si>
  <si>
    <t>zrealizowano - płatność kwiecień</t>
  </si>
  <si>
    <t>Piłsudskiego 13</t>
  </si>
  <si>
    <t xml:space="preserve">Roboty nieprzewidziane - środki gromadzone na remont dachu </t>
  </si>
  <si>
    <t>Piłsudskiego 89</t>
  </si>
  <si>
    <t>Naprawa komina</t>
  </si>
  <si>
    <t>zrealizowano -płatność kwiecień</t>
  </si>
  <si>
    <t>Środki gromadzone na wymianę kotła gazowego wraz zasobnikiem</t>
  </si>
  <si>
    <t>Piłsudskiego 92 A/ Środkowa 1-3</t>
  </si>
  <si>
    <t>Wykonanie reperów i plomb celem monitoringu osiadania kiosków wejściowych</t>
  </si>
  <si>
    <t>Naprawa podejścia kanalizacyjnego pod rurę spustową deszczową przy kiosku wejściowym Środkowa 1</t>
  </si>
  <si>
    <t>Wymiana stolarki okiennej w mieszkaniach - Piłs.92A/13, Środkowa 3/3, Środkowa 1/11</t>
  </si>
  <si>
    <t>Wykonanie izolacji poziomej w lokalach (część z 2011)</t>
  </si>
  <si>
    <t>Roboty nieprzewidziane -środki gromadzone na remonty w latach kolejnych</t>
  </si>
  <si>
    <t>Słowackiego 17</t>
  </si>
  <si>
    <t>Malowanie klatki schodowej</t>
  </si>
  <si>
    <t>Wykonanie zabezpieczeń przeciw ptakom</t>
  </si>
  <si>
    <t>Struga 9-11</t>
  </si>
  <si>
    <t>Docieplenie budynku wraz kosztem inspektora nadzoru</t>
  </si>
  <si>
    <t>Remont tablicy administracyjnej</t>
  </si>
  <si>
    <t>zrealizowano - płatność maj</t>
  </si>
  <si>
    <t>Roboty nieprzewidziane - zabepieczenie styków płyt przed ptakami</t>
  </si>
  <si>
    <t>zrealizowano</t>
  </si>
  <si>
    <t xml:space="preserve">Dokumentacja na piony p.poż </t>
  </si>
  <si>
    <t>Miejscowa naprawa loggii w trakcie wykonywania robót dociepleniowych</t>
  </si>
  <si>
    <t>Wita Stwosza 2</t>
  </si>
  <si>
    <t>Remont chodnika</t>
  </si>
  <si>
    <t>Roboty nieprzewidziane - środki gromadzone na malowanie klatki schodowej</t>
  </si>
  <si>
    <t>ogółem:</t>
  </si>
  <si>
    <t>Porozumienia na wymianę stolarki okiennej - a/10, a/5, a/25, b/17</t>
  </si>
  <si>
    <t xml:space="preserve">Porozumienia na wymianę stolarki okiennej - a/2, b/1, b/7, a/8 </t>
  </si>
  <si>
    <t>Remont dwóch lukarn od strony wejść-(1 lukarna z 2011)</t>
  </si>
  <si>
    <t xml:space="preserve">wymiana stolarki okiennej - porozumienia 6A/9, 6C/10,  6G/3 </t>
  </si>
  <si>
    <t>Remont wejść do budynku</t>
  </si>
  <si>
    <t>Planowana wartość robót</t>
  </si>
  <si>
    <t xml:space="preserve"> </t>
  </si>
  <si>
    <t>RAZEM</t>
  </si>
  <si>
    <t xml:space="preserve">Uwagi </t>
  </si>
  <si>
    <t>w tym rezerwa</t>
  </si>
  <si>
    <t>Uwagi</t>
  </si>
  <si>
    <t>OGÓŁEM + MIENIE:</t>
  </si>
  <si>
    <t>Portowa 1-2</t>
  </si>
  <si>
    <t>Chrobrego 5</t>
  </si>
  <si>
    <t>Piłsudskiego 92 a Środkowa 1, 3</t>
  </si>
  <si>
    <t>Lp.</t>
  </si>
  <si>
    <t>Złotnikow 7</t>
  </si>
  <si>
    <t>remont daszka nad garażami</t>
  </si>
  <si>
    <t>wymiana centralki domofonu Kl. A wraz z unifonami</t>
  </si>
  <si>
    <t>wymiana naświetli na okna PCV</t>
  </si>
  <si>
    <t>wymiana istniejącego ogrodzenia na placu zabaw na stalowe</t>
  </si>
  <si>
    <t>Wymiana rynny i rur spustowych wraz z dociepleniem gzymsu od strony ulicy</t>
  </si>
  <si>
    <t>wymiana oświetlenia na LED</t>
  </si>
  <si>
    <t>opracowanie koncepcji projektowej na wydzielenie wiatrołapu</t>
  </si>
  <si>
    <t>wykonanie utwardzenia pod pojemniki na odpady selektywne</t>
  </si>
  <si>
    <t>wymiana rury spustowej na PCV kl. F przy wejściu do budynku</t>
  </si>
  <si>
    <t>docieplenie i remont cokołu wraz z wymiana okienek piwnicznych</t>
  </si>
  <si>
    <t>remont dachu - Etap II budynek  nr 2</t>
  </si>
  <si>
    <t>docieplenie i obłożenie klinkierem wejścia do budynku</t>
  </si>
  <si>
    <t>malowanie klatki schodowej</t>
  </si>
  <si>
    <t>montaż wentylacji przestrzeni stropodachu</t>
  </si>
  <si>
    <t>wymiana okien przy wejściu</t>
  </si>
  <si>
    <t>docieplenie gzymsu wraz z wymianą rynien</t>
  </si>
  <si>
    <t>wykonanie oświetlenie przy śmietniku</t>
  </si>
  <si>
    <t>remont daszku kiosków</t>
  </si>
  <si>
    <t>remont odcinka chodnika</t>
  </si>
  <si>
    <t>montaż stojaków na rowery</t>
  </si>
  <si>
    <t>zmiana sposobu podłącznia rury spustowej</t>
  </si>
  <si>
    <t>wymiana pokrycia dachu nadbudówki na styropapę</t>
  </si>
  <si>
    <t>serwis hydrofornii</t>
  </si>
  <si>
    <t xml:space="preserve">przegląd zaworów hydrantowych </t>
  </si>
  <si>
    <t>wymiana pompy hydroforni</t>
  </si>
  <si>
    <t>modernizacja sterowania szafy elektrycznej + wykonanie projektu p.poż</t>
  </si>
  <si>
    <t>wykonanie miejsca postojowego dla niepełnosprawnych</t>
  </si>
  <si>
    <t>remont daszku kiosku</t>
  </si>
  <si>
    <t>remont dźwigu</t>
  </si>
  <si>
    <t>wymiana pokrycia dachu i nadbudówki</t>
  </si>
  <si>
    <t>naprawa silnika napędu dźwigu</t>
  </si>
  <si>
    <t>porozumienie na okna</t>
  </si>
  <si>
    <t>docieplenie lukarn wraz z wymianą pokrycia dachu</t>
  </si>
  <si>
    <t>wykonanie kraty na oknie na ostatniej kondygnacji</t>
  </si>
  <si>
    <t>remont zejscia do piwnicy</t>
  </si>
  <si>
    <t>remont chodnika i schodów terenowych</t>
  </si>
  <si>
    <t xml:space="preserve">remont chodnika </t>
  </si>
  <si>
    <t>remont chodnika</t>
  </si>
  <si>
    <t>termozawory</t>
  </si>
  <si>
    <t>wymiana poziomu kanalizacji i remont schodów w piwnicy kl. E</t>
  </si>
  <si>
    <t>remont daszków kiosku (bez kl. a) z 2018r.</t>
  </si>
  <si>
    <t>wymiana domofonu wraz z unifonami</t>
  </si>
  <si>
    <t>wykonanie projektu na wymianę instalacji gazowej</t>
  </si>
  <si>
    <t>remont daszków kiosku z 2018r.</t>
  </si>
  <si>
    <t>opracowanie koncepcji na zagospodarowanie placu między budynkami Kopernika 6,7 i 8</t>
  </si>
  <si>
    <t>remont wjazdu i parkingu</t>
  </si>
  <si>
    <t>remont wjazdu</t>
  </si>
  <si>
    <t>częściowy remont dachu nad mieszkaniem b/9 od strony wejścia do budynku</t>
  </si>
  <si>
    <t>malowanie klatek schodowych i pomieszczeń ogólnego użytku</t>
  </si>
  <si>
    <t>opracowanie koncepcji wraz z wykonaniem rozbudowy placu zabaw</t>
  </si>
  <si>
    <t>miejscowa naprawa pokrycia dachowego</t>
  </si>
  <si>
    <t>remont balkonów na pierwszym piętrze</t>
  </si>
  <si>
    <t>przegląd zaworów hydrantowych</t>
  </si>
  <si>
    <t>wjazd na teren nieruchomości</t>
  </si>
  <si>
    <t>ocieplenie ściany w pom.przeznaczonym na składowanie odpadów komunalnych</t>
  </si>
  <si>
    <t>remont pokrycia dachowego nad "Tajemniczym Ogrodem"</t>
  </si>
  <si>
    <t>remont murka przed wejsciem do budynku</t>
  </si>
  <si>
    <t>przebudowa wejścia do budynku</t>
  </si>
  <si>
    <t>opracowanie koncepcji przebudowy wejścia do budynku</t>
  </si>
  <si>
    <t>wymiana ław kominowych</t>
  </si>
  <si>
    <t>likwidacja przepustu kanalizacyjnego</t>
  </si>
  <si>
    <t>drzwi wejsciowe do klatki Śr. 1 i Pił. 92A</t>
  </si>
  <si>
    <t>zamknięcie altany,ogrodzenie wejścia do lok. od str. podwórka</t>
  </si>
  <si>
    <t>remont opaski budynku od strony rzeki</t>
  </si>
  <si>
    <t>monitoring ornitologiczny</t>
  </si>
  <si>
    <t>wymiana opierzenia</t>
  </si>
  <si>
    <t>remont zejścia do piwnicy</t>
  </si>
  <si>
    <t>opracowanie projektu na zasilanie do nowych węzłów cieplnych</t>
  </si>
  <si>
    <t>remont wejść do budynku i lokali użytkowych</t>
  </si>
  <si>
    <t>partycypacja w kosztach remontu altanki śmietnikowej</t>
  </si>
  <si>
    <t>wymiana termozaworów w mieszkaniach</t>
  </si>
  <si>
    <t>w trakcie realizacji 50%</t>
  </si>
  <si>
    <t>w trakcie realizacji 10%</t>
  </si>
  <si>
    <t xml:space="preserve"> OSM_WYKONANIE PLANU REMONTÓW LOKALI W NAJMIE ZA 2019 ROK</t>
  </si>
  <si>
    <t>REALIZACJA PLANU PLANU REMONTÓW OSIEDLA STARE MIASTO NA 30.09.2019R.</t>
  </si>
  <si>
    <t>montaż balustrad przy kl. D</t>
  </si>
  <si>
    <t>inspekcja kamerą TV poziomów kanalizacyjnych w kl. C</t>
  </si>
  <si>
    <t>inspekcja kamerą TV poziomów kanalizacyjnych (od pralni do suszarni)</t>
  </si>
  <si>
    <t>adaptacja pomieszczeń do celów węzłów cieplnych</t>
  </si>
  <si>
    <t>w trakcie realizacji 95%</t>
  </si>
  <si>
    <t>w trakcie realizacji 25%</t>
  </si>
  <si>
    <t>w trakcie realizacji 45%</t>
  </si>
  <si>
    <t>odstąpiono od prac</t>
  </si>
  <si>
    <t>wymiana wodomierzy</t>
  </si>
  <si>
    <t>opracowanie opinii technicznej na rozebranie komina w pralni</t>
  </si>
  <si>
    <t>w trakcie realizacji 90%</t>
  </si>
  <si>
    <t>opracowanie projektu na ponowne docieplenie budynku</t>
  </si>
  <si>
    <t>remont posadzki w klatce E oraz wykonanie nowych ścianek w piwnicach lokatorskich</t>
  </si>
  <si>
    <t>rozbiórka piaskownicy oraz wykonanie nowej</t>
  </si>
  <si>
    <t>wymiana domofonowych tablic przyzywowych wraz z unifonami kl. B, E, F</t>
  </si>
  <si>
    <t>utwardzenie terenu pod pojemniki na selektywne odpady wraz z ogrodzeniem</t>
  </si>
  <si>
    <t>wymiana 2 szt. wpustów dachowych nad sklepem elektrycznym</t>
  </si>
  <si>
    <t xml:space="preserve">wymiana poziomu kanalizacyjnego w piwnicy wraz z wykonaniem m-scowej izolacji </t>
  </si>
  <si>
    <t>legalizacja ciepłomierzy w mieszkaniach</t>
  </si>
  <si>
    <t>wykonanie utwardzenia pod pojemniki wraz z ogrodzeniem</t>
  </si>
  <si>
    <t>remont chodnika przed wejściem do budynku</t>
  </si>
  <si>
    <t>montaż lampy solarnej - oświetlenie drogi do altany</t>
  </si>
  <si>
    <t>wymiana stolarki  okiennej w pomieszczeniach ogólnego użytku oraz okienek piwnicznych</t>
  </si>
  <si>
    <t>wymiana okienek piwnicznych+lokale uż.najem</t>
  </si>
  <si>
    <t>czyszczenie daszków wejściowych poliwęglanowych</t>
  </si>
  <si>
    <t>remont loggii</t>
  </si>
  <si>
    <t>likwidacja budowli ochronnej (schron)</t>
  </si>
  <si>
    <t>wymiana drzwi wejściowych</t>
  </si>
  <si>
    <t>stojak na rowery</t>
  </si>
  <si>
    <t>opracowanie projektu na ponowne docieplenie budynku (plan 2022)</t>
  </si>
  <si>
    <t>modernizacja pionu co</t>
  </si>
  <si>
    <t xml:space="preserve">wymiana rozdzielaczy c.o. w rozdzielniach </t>
  </si>
  <si>
    <t>wymiana wodomierzy (plan 2022 - uzupełnienia)</t>
  </si>
  <si>
    <t>izolacja ściany szczytowej</t>
  </si>
  <si>
    <t>wymiana termozaworów</t>
  </si>
  <si>
    <t>remont inst. wentylacyjnej</t>
  </si>
  <si>
    <t>adaptacja pomieszczeń na węzeł c.o. (dodano)</t>
  </si>
  <si>
    <t xml:space="preserve">wymiana termozaworów </t>
  </si>
  <si>
    <t>wymiana domofonowych tablic przyzywowych wraz z unifonami B-C</t>
  </si>
  <si>
    <t>wymiana fragmentu instalacji deszczowej</t>
  </si>
  <si>
    <t>projekt organizacji ruchu</t>
  </si>
  <si>
    <t>wymiana okienek piwnicznych i okien na klatce schodowej</t>
  </si>
  <si>
    <t>wymiana domofonu (z 2022)</t>
  </si>
  <si>
    <t>badanie termowizyjne mieszkania nr 12</t>
  </si>
  <si>
    <t>wymiana instalacji gazowej</t>
  </si>
  <si>
    <t>przeprowadzenie badania termowizyjnego</t>
  </si>
  <si>
    <t>wymiana domofonu</t>
  </si>
  <si>
    <t xml:space="preserve">czyszczenie instalacji kanalizacyjnej </t>
  </si>
  <si>
    <t>montaż lamp LED na biegu schodowym</t>
  </si>
  <si>
    <t>wymiana dźwigu</t>
  </si>
  <si>
    <t>remont murka oporowego wraz z remontem zjazdu do garaży</t>
  </si>
  <si>
    <t>wymiana dźwigu (plan 2022)</t>
  </si>
  <si>
    <t>remont zsypów</t>
  </si>
  <si>
    <t>wymiana oświetlenia w piwnicy</t>
  </si>
  <si>
    <t>montaż lampy zewnętrznej</t>
  </si>
  <si>
    <t>remont ścian nadbudówki</t>
  </si>
  <si>
    <t>wymiana okna na VII piętrze</t>
  </si>
  <si>
    <t>wymiana okienek piwnicznych</t>
  </si>
  <si>
    <t>izolacja ściany fundamentowej (przy wejściu do lok.użytkowego)</t>
  </si>
  <si>
    <t>wymiana obróbki blacharskiej loggi</t>
  </si>
  <si>
    <t>wymiana domofonowych tablic przyzywowych wraz z unifonami</t>
  </si>
  <si>
    <t>wymiana pionu kanalizajnego w kl.D</t>
  </si>
  <si>
    <t>naprawa daszku wejściowego w klatce B</t>
  </si>
  <si>
    <t>wymiana domofonowych tablic przyzywowych wraz z unifonami kl. B, C, D</t>
  </si>
  <si>
    <t xml:space="preserve">remont altany śmietnikowej </t>
  </si>
  <si>
    <t>mycie elewacji północnej z gruntowaniem preparatem grzybobójczym</t>
  </si>
  <si>
    <t>remont pokrycia dachu</t>
  </si>
  <si>
    <t xml:space="preserve">opracowanie projektu zmiany kolorystyki i docieplenia cokołu </t>
  </si>
  <si>
    <t>usunięcie miroorganizmów wraz ze zmianą kolorystyki elewacji, wymiana zadaszeń nad drzwiami wejściowymi - 4 szt. oraz wymianą rur spustowych ok.64 mb</t>
  </si>
  <si>
    <t xml:space="preserve">wymiana domofonowych tablic przyzywowych wraz z unifonami </t>
  </si>
  <si>
    <t>wymiana drzwi wejściowych zewnętrznych klatka B</t>
  </si>
  <si>
    <t>remont nadbudówki</t>
  </si>
  <si>
    <t>wymiana ławek i montaż stojaków rowerowych</t>
  </si>
  <si>
    <t>PLAN REMONTÓW OSIEDLA STARE MIASTO NA 2023r.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</si>
</sst>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,##0.00\ _z_ł"/>
    <numFmt numFmtId="168" formatCode="0.0"/>
    <numFmt numFmtId="169" formatCode="#,##0\ &quot;zł&quot;"/>
    <numFmt numFmtId="170" formatCode="_-* #,##0\ &quot;zł&quot;_-;\-* #,##0\ &quot;zł&quot;_-;_-* &quot;-&quot;??\ &quot;zł&quot;_-;_-@_-"/>
    <numFmt numFmtId="171" formatCode="#,##0.0\ &quot;zł&quot;"/>
    <numFmt numFmtId="172" formatCode="_-* #,##0.0\ &quot;zł&quot;_-;\-* #,##0.0\ &quot;zł&quot;_-;_-* &quot;-&quot;??\ &quot;zł&quot;_-;_-@_-"/>
    <numFmt numFmtId="173" formatCode="_-* #,##0\ _z_ł_-;\-* #,##0\ _z_ł_-;_-* &quot;-&quot;??\ _z_ł_-;_-@_-"/>
    <numFmt numFmtId="174" formatCode="#,##0.00_ ;\-#,##0.00\ "/>
    <numFmt numFmtId="175" formatCode="[$-415]d\ mmmm\ yyyy"/>
    <numFmt numFmtId="176" formatCode="#,##0.0"/>
    <numFmt numFmtId="177" formatCode="#,##0.000"/>
    <numFmt numFmtId="178" formatCode="0.00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000"/>
  </numFmts>
  <fonts count="69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Times New Roman"/>
      <family val="1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20"/>
      <name val="Times New Roman"/>
      <family val="1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"/>
      <color theme="10"/>
      <name val="Times New Roman"/>
      <family val="1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"/>
      <color theme="11"/>
      <name val="Times New Roman"/>
      <family val="1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1"/>
      <name val="Arial CE"/>
      <family val="0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/>
      <top style="thin"/>
      <bottom style="hair"/>
    </border>
    <border>
      <left/>
      <right>
        <color indexed="63"/>
      </right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40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166" fontId="0" fillId="0" borderId="10" xfId="65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44" fontId="0" fillId="0" borderId="10" xfId="65" applyFont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4" fontId="0" fillId="0" borderId="0" xfId="0" applyNumberFormat="1" applyAlignment="1">
      <alignment/>
    </xf>
    <xf numFmtId="44" fontId="0" fillId="0" borderId="10" xfId="65" applyFont="1" applyBorder="1" applyAlignment="1">
      <alignment horizontal="right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4" fillId="4" borderId="10" xfId="0" applyFont="1" applyFill="1" applyBorder="1" applyAlignment="1">
      <alignment wrapText="1"/>
    </xf>
    <xf numFmtId="44" fontId="0" fillId="0" borderId="10" xfId="65" applyFont="1" applyBorder="1" applyAlignment="1">
      <alignment horizontal="righ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vertical="center" wrapText="1"/>
    </xf>
    <xf numFmtId="44" fontId="4" fillId="4" borderId="10" xfId="65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4" fontId="0" fillId="0" borderId="10" xfId="65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44" fontId="4" fillId="4" borderId="10" xfId="65" applyFont="1" applyFill="1" applyBorder="1" applyAlignment="1">
      <alignment horizontal="center" vertical="center" wrapText="1"/>
    </xf>
    <xf numFmtId="44" fontId="0" fillId="0" borderId="10" xfId="65" applyFont="1" applyBorder="1" applyAlignment="1">
      <alignment horizontal="right" vertical="center" wrapText="1"/>
    </xf>
    <xf numFmtId="44" fontId="0" fillId="0" borderId="10" xfId="65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 shrinkToFit="1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44" fontId="0" fillId="0" borderId="10" xfId="0" applyNumberFormat="1" applyBorder="1" applyAlignment="1">
      <alignment horizontal="right" vertical="center" wrapText="1"/>
    </xf>
    <xf numFmtId="44" fontId="4" fillId="0" borderId="10" xfId="65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4" fontId="2" fillId="0" borderId="10" xfId="42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44" fontId="4" fillId="4" borderId="10" xfId="65" applyFont="1" applyFill="1" applyBorder="1" applyAlignment="1">
      <alignment horizontal="right" vertical="center"/>
    </xf>
    <xf numFmtId="44" fontId="4" fillId="4" borderId="10" xfId="65" applyFont="1" applyFill="1" applyBorder="1" applyAlignment="1">
      <alignment horizontal="right"/>
    </xf>
    <xf numFmtId="166" fontId="0" fillId="0" borderId="10" xfId="0" applyNumberFormat="1" applyFont="1" applyBorder="1" applyAlignment="1">
      <alignment horizontal="right" vertical="center"/>
    </xf>
    <xf numFmtId="166" fontId="0" fillId="0" borderId="10" xfId="0" applyNumberFormat="1" applyFont="1" applyBorder="1" applyAlignment="1">
      <alignment horizontal="right" vertical="center"/>
    </xf>
    <xf numFmtId="166" fontId="4" fillId="4" borderId="10" xfId="65" applyNumberFormat="1" applyFont="1" applyFill="1" applyBorder="1" applyAlignment="1">
      <alignment horizontal="right" vertical="center"/>
    </xf>
    <xf numFmtId="166" fontId="0" fillId="0" borderId="10" xfId="0" applyNumberFormat="1" applyFont="1" applyBorder="1" applyAlignment="1">
      <alignment horizontal="right" vertical="center"/>
    </xf>
    <xf numFmtId="166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44" fontId="4" fillId="0" borderId="10" xfId="65" applyFont="1" applyBorder="1" applyAlignment="1">
      <alignment horizontal="right" vertical="center"/>
    </xf>
    <xf numFmtId="44" fontId="0" fillId="0" borderId="10" xfId="65" applyFont="1" applyBorder="1" applyAlignment="1">
      <alignment horizontal="right"/>
    </xf>
    <xf numFmtId="44" fontId="0" fillId="0" borderId="10" xfId="65" applyFont="1" applyBorder="1" applyAlignment="1">
      <alignment horizontal="right"/>
    </xf>
    <xf numFmtId="7" fontId="0" fillId="0" borderId="10" xfId="65" applyNumberFormat="1" applyFont="1" applyBorder="1" applyAlignment="1">
      <alignment horizontal="right" vertical="center"/>
    </xf>
    <xf numFmtId="7" fontId="4" fillId="4" borderId="10" xfId="65" applyNumberFormat="1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 horizontal="right" vertical="center"/>
    </xf>
    <xf numFmtId="44" fontId="0" fillId="0" borderId="10" xfId="65" applyFont="1" applyBorder="1" applyAlignment="1">
      <alignment horizontal="right"/>
    </xf>
    <xf numFmtId="166" fontId="6" fillId="0" borderId="10" xfId="0" applyNumberFormat="1" applyFont="1" applyFill="1" applyBorder="1" applyAlignment="1">
      <alignment horizontal="right" vertical="center"/>
    </xf>
    <xf numFmtId="7" fontId="4" fillId="4" borderId="10" xfId="65" applyNumberFormat="1" applyFont="1" applyFill="1" applyBorder="1" applyAlignment="1">
      <alignment horizontal="right" vertical="center"/>
    </xf>
    <xf numFmtId="7" fontId="6" fillId="0" borderId="10" xfId="65" applyNumberFormat="1" applyFont="1" applyFill="1" applyBorder="1" applyAlignment="1">
      <alignment horizontal="right" vertical="center"/>
    </xf>
    <xf numFmtId="167" fontId="0" fillId="32" borderId="10" xfId="65" applyNumberFormat="1" applyFont="1" applyFill="1" applyBorder="1" applyAlignment="1">
      <alignment horizontal="right"/>
    </xf>
    <xf numFmtId="167" fontId="0" fillId="0" borderId="10" xfId="65" applyNumberFormat="1" applyFont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44" fontId="0" fillId="32" borderId="10" xfId="65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44" fontId="0" fillId="0" borderId="10" xfId="65" applyFont="1" applyBorder="1" applyAlignment="1">
      <alignment horizontal="right" vertical="center"/>
    </xf>
    <xf numFmtId="7" fontId="0" fillId="0" borderId="10" xfId="65" applyNumberFormat="1" applyFont="1" applyBorder="1" applyAlignment="1">
      <alignment horizontal="right" vertical="center"/>
    </xf>
    <xf numFmtId="167" fontId="0" fillId="32" borderId="10" xfId="65" applyNumberFormat="1" applyFont="1" applyFill="1" applyBorder="1" applyAlignment="1">
      <alignment horizontal="right" vertical="center"/>
    </xf>
    <xf numFmtId="167" fontId="0" fillId="0" borderId="10" xfId="65" applyNumberFormat="1" applyFont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44" fontId="0" fillId="32" borderId="10" xfId="65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44" fontId="0" fillId="0" borderId="10" xfId="65" applyFont="1" applyBorder="1" applyAlignment="1">
      <alignment horizontal="right" vertical="center"/>
    </xf>
    <xf numFmtId="44" fontId="0" fillId="0" borderId="10" xfId="65" applyFont="1" applyBorder="1" applyAlignment="1">
      <alignment horizontal="right" vertical="center"/>
    </xf>
    <xf numFmtId="166" fontId="0" fillId="0" borderId="10" xfId="65" applyNumberFormat="1" applyFont="1" applyBorder="1" applyAlignment="1">
      <alignment horizontal="right" vertical="center"/>
    </xf>
    <xf numFmtId="44" fontId="11" fillId="33" borderId="10" xfId="0" applyNumberFormat="1" applyFont="1" applyFill="1" applyBorder="1" applyAlignment="1">
      <alignment horizontal="right"/>
    </xf>
    <xf numFmtId="44" fontId="11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wrapText="1"/>
    </xf>
    <xf numFmtId="44" fontId="4" fillId="4" borderId="12" xfId="65" applyFont="1" applyFill="1" applyBorder="1" applyAlignment="1">
      <alignment horizontal="right" vertical="center"/>
    </xf>
    <xf numFmtId="0" fontId="4" fillId="4" borderId="12" xfId="0" applyFont="1" applyFill="1" applyBorder="1" applyAlignment="1">
      <alignment vertical="center"/>
    </xf>
    <xf numFmtId="44" fontId="0" fillId="0" borderId="11" xfId="65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4" fontId="4" fillId="0" borderId="0" xfId="65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wrapText="1"/>
    </xf>
    <xf numFmtId="44" fontId="4" fillId="0" borderId="13" xfId="65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44" fontId="4" fillId="0" borderId="14" xfId="65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44" fontId="4" fillId="0" borderId="15" xfId="65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4" borderId="12" xfId="0" applyFont="1" applyFill="1" applyBorder="1" applyAlignment="1">
      <alignment/>
    </xf>
    <xf numFmtId="166" fontId="4" fillId="4" borderId="12" xfId="65" applyNumberFormat="1" applyFont="1" applyFill="1" applyBorder="1" applyAlignment="1">
      <alignment horizontal="right" vertical="center"/>
    </xf>
    <xf numFmtId="44" fontId="4" fillId="4" borderId="12" xfId="65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166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4" fontId="0" fillId="0" borderId="11" xfId="65" applyFont="1" applyBorder="1" applyAlignment="1">
      <alignment horizontal="right"/>
    </xf>
    <xf numFmtId="44" fontId="0" fillId="0" borderId="11" xfId="65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66" fontId="4" fillId="0" borderId="0" xfId="65" applyNumberFormat="1" applyFont="1" applyFill="1" applyBorder="1" applyAlignment="1">
      <alignment horizontal="right" vertical="center"/>
    </xf>
    <xf numFmtId="44" fontId="4" fillId="0" borderId="0" xfId="65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166" fontId="4" fillId="0" borderId="14" xfId="65" applyNumberFormat="1" applyFont="1" applyFill="1" applyBorder="1" applyAlignment="1">
      <alignment horizontal="right" vertical="center"/>
    </xf>
    <xf numFmtId="44" fontId="4" fillId="0" borderId="14" xfId="65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166" fontId="4" fillId="0" borderId="15" xfId="65" applyNumberFormat="1" applyFont="1" applyFill="1" applyBorder="1" applyAlignment="1">
      <alignment horizontal="right" vertical="center"/>
    </xf>
    <xf numFmtId="44" fontId="4" fillId="0" borderId="15" xfId="65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166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166" fontId="6" fillId="0" borderId="11" xfId="0" applyNumberFormat="1" applyFont="1" applyFill="1" applyBorder="1" applyAlignment="1">
      <alignment horizontal="right" vertical="center"/>
    </xf>
    <xf numFmtId="44" fontId="0" fillId="0" borderId="11" xfId="65" applyFont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44" fontId="4" fillId="4" borderId="12" xfId="65" applyFont="1" applyFill="1" applyBorder="1" applyAlignment="1">
      <alignment horizontal="right" vertical="center" wrapText="1"/>
    </xf>
    <xf numFmtId="44" fontId="0" fillId="0" borderId="11" xfId="65" applyFont="1" applyBorder="1" applyAlignment="1">
      <alignment horizontal="right" vertical="center" wrapText="1"/>
    </xf>
    <xf numFmtId="44" fontId="0" fillId="0" borderId="11" xfId="0" applyNumberForma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44" fontId="4" fillId="0" borderId="0" xfId="65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44" fontId="4" fillId="0" borderId="14" xfId="65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44" fontId="4" fillId="0" borderId="15" xfId="65" applyFont="1" applyFill="1" applyBorder="1" applyAlignment="1">
      <alignment horizontal="right" vertical="center" wrapText="1"/>
    </xf>
    <xf numFmtId="44" fontId="0" fillId="0" borderId="11" xfId="65" applyFont="1" applyFill="1" applyBorder="1" applyAlignment="1">
      <alignment horizontal="right" vertical="center" wrapText="1"/>
    </xf>
    <xf numFmtId="0" fontId="0" fillId="0" borderId="11" xfId="0" applyFont="1" applyBorder="1" applyAlignment="1">
      <alignment vertical="center"/>
    </xf>
    <xf numFmtId="2" fontId="6" fillId="0" borderId="11" xfId="0" applyNumberFormat="1" applyFont="1" applyFill="1" applyBorder="1" applyAlignment="1">
      <alignment horizontal="right" vertical="center"/>
    </xf>
    <xf numFmtId="44" fontId="0" fillId="0" borderId="11" xfId="65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4" fontId="2" fillId="0" borderId="0" xfId="65" applyNumberFormat="1" applyFont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4" fontId="6" fillId="0" borderId="0" xfId="0" applyNumberFormat="1" applyFont="1" applyBorder="1" applyAlignment="1" applyProtection="1">
      <alignment horizontal="right" vertical="center"/>
      <protection/>
    </xf>
    <xf numFmtId="4" fontId="6" fillId="0" borderId="0" xfId="65" applyNumberFormat="1" applyFont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" fontId="6" fillId="0" borderId="10" xfId="42" applyNumberFormat="1" applyFont="1" applyFill="1" applyBorder="1" applyAlignment="1" applyProtection="1">
      <alignment horizontal="center" vertical="center" wrapText="1"/>
      <protection/>
    </xf>
    <xf numFmtId="4" fontId="6" fillId="0" borderId="10" xfId="65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3" fillId="0" borderId="10" xfId="56" applyFont="1" applyBorder="1" applyAlignment="1">
      <alignment vertical="center" wrapText="1"/>
      <protection/>
    </xf>
    <xf numFmtId="4" fontId="6" fillId="32" borderId="10" xfId="65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4" fontId="6" fillId="0" borderId="10" xfId="0" applyNumberFormat="1" applyFont="1" applyFill="1" applyBorder="1" applyAlignment="1">
      <alignment vertical="center" wrapText="1"/>
    </xf>
    <xf numFmtId="44" fontId="6" fillId="0" borderId="10" xfId="0" applyNumberFormat="1" applyFont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left" vertical="center" wrapText="1"/>
    </xf>
    <xf numFmtId="4" fontId="15" fillId="4" borderId="10" xfId="65" applyNumberFormat="1" applyFont="1" applyFill="1" applyBorder="1" applyAlignment="1">
      <alignment horizontal="right" vertical="center" wrapText="1"/>
    </xf>
    <xf numFmtId="166" fontId="6" fillId="0" borderId="10" xfId="0" applyNumberFormat="1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/>
    </xf>
    <xf numFmtId="4" fontId="6" fillId="32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15" fillId="4" borderId="10" xfId="65" applyNumberFormat="1" applyFont="1" applyFill="1" applyBorder="1" applyAlignment="1">
      <alignment vertical="center" wrapText="1"/>
    </xf>
    <xf numFmtId="4" fontId="6" fillId="0" borderId="10" xfId="65" applyNumberFormat="1" applyFont="1" applyFill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4" fontId="63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" fontId="63" fillId="0" borderId="10" xfId="0" applyNumberFormat="1" applyFont="1" applyBorder="1" applyAlignment="1">
      <alignment horizontal="right" vertical="center"/>
    </xf>
    <xf numFmtId="4" fontId="6" fillId="0" borderId="10" xfId="65" applyNumberFormat="1" applyFont="1" applyBorder="1" applyAlignment="1">
      <alignment vertical="center" wrapText="1"/>
    </xf>
    <xf numFmtId="0" fontId="6" fillId="0" borderId="10" xfId="56" applyFont="1" applyFill="1" applyBorder="1" applyAlignment="1">
      <alignment vertical="center" wrapText="1"/>
      <protection/>
    </xf>
    <xf numFmtId="4" fontId="6" fillId="0" borderId="10" xfId="56" applyNumberFormat="1" applyFont="1" applyFill="1" applyBorder="1" applyAlignment="1">
      <alignment vertical="center" wrapText="1"/>
      <protection/>
    </xf>
    <xf numFmtId="4" fontId="6" fillId="0" borderId="10" xfId="0" applyNumberFormat="1" applyFont="1" applyBorder="1" applyAlignment="1">
      <alignment vertical="center"/>
    </xf>
    <xf numFmtId="4" fontId="6" fillId="35" borderId="10" xfId="65" applyNumberFormat="1" applyFont="1" applyFill="1" applyBorder="1" applyAlignment="1">
      <alignment vertical="center" wrapText="1"/>
    </xf>
    <xf numFmtId="4" fontId="6" fillId="0" borderId="10" xfId="65" applyNumberFormat="1" applyFont="1" applyFill="1" applyBorder="1" applyAlignment="1">
      <alignment horizontal="right" vertical="center"/>
    </xf>
    <xf numFmtId="0" fontId="15" fillId="34" borderId="10" xfId="0" applyFont="1" applyFill="1" applyBorder="1" applyAlignment="1">
      <alignment horizontal="left" wrapText="1"/>
    </xf>
    <xf numFmtId="4" fontId="15" fillId="4" borderId="10" xfId="65" applyNumberFormat="1" applyFont="1" applyFill="1" applyBorder="1" applyAlignment="1">
      <alignment horizontal="right" vertical="center"/>
    </xf>
    <xf numFmtId="4" fontId="15" fillId="4" borderId="10" xfId="65" applyNumberFormat="1" applyFont="1" applyFill="1" applyBorder="1" applyAlignment="1">
      <alignment vertical="center"/>
    </xf>
    <xf numFmtId="4" fontId="6" fillId="35" borderId="10" xfId="65" applyNumberFormat="1" applyFont="1" applyFill="1" applyBorder="1" applyAlignment="1">
      <alignment vertical="center"/>
    </xf>
    <xf numFmtId="4" fontId="6" fillId="0" borderId="10" xfId="59" applyNumberFormat="1" applyFont="1" applyFill="1" applyBorder="1" applyAlignment="1">
      <alignment vertical="center"/>
    </xf>
    <xf numFmtId="4" fontId="6" fillId="0" borderId="10" xfId="65" applyNumberFormat="1" applyFont="1" applyFill="1" applyBorder="1" applyAlignment="1">
      <alignment vertical="center"/>
    </xf>
    <xf numFmtId="4" fontId="6" fillId="35" borderId="10" xfId="65" applyNumberFormat="1" applyFont="1" applyFill="1" applyBorder="1" applyAlignment="1">
      <alignment horizontal="right" vertical="center"/>
    </xf>
    <xf numFmtId="166" fontId="6" fillId="35" borderId="10" xfId="0" applyNumberFormat="1" applyFont="1" applyFill="1" applyBorder="1" applyAlignment="1">
      <alignment horizontal="left" vertical="center" wrapText="1"/>
    </xf>
    <xf numFmtId="0" fontId="6" fillId="35" borderId="0" xfId="0" applyFont="1" applyFill="1" applyAlignment="1">
      <alignment/>
    </xf>
    <xf numFmtId="4" fontId="15" fillId="4" borderId="10" xfId="0" applyNumberFormat="1" applyFont="1" applyFill="1" applyBorder="1" applyAlignment="1">
      <alignment horizontal="right" vertical="center" wrapText="1"/>
    </xf>
    <xf numFmtId="4" fontId="15" fillId="4" borderId="10" xfId="0" applyNumberFormat="1" applyFont="1" applyFill="1" applyBorder="1" applyAlignment="1">
      <alignment horizontal="right" vertical="center"/>
    </xf>
    <xf numFmtId="4" fontId="6" fillId="0" borderId="10" xfId="70" applyNumberFormat="1" applyFont="1" applyFill="1" applyBorder="1" applyAlignment="1">
      <alignment horizontal="righ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6" fillId="3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left"/>
    </xf>
    <xf numFmtId="4" fontId="6" fillId="0" borderId="10" xfId="54" applyNumberFormat="1" applyFont="1" applyFill="1" applyBorder="1" applyAlignment="1">
      <alignment vertical="center"/>
      <protection/>
    </xf>
    <xf numFmtId="4" fontId="6" fillId="0" borderId="10" xfId="55" applyNumberFormat="1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4" fontId="63" fillId="0" borderId="10" xfId="56" applyNumberFormat="1" applyFont="1" applyBorder="1" applyAlignment="1">
      <alignment vertical="center" wrapText="1"/>
      <protection/>
    </xf>
    <xf numFmtId="4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15" fillId="4" borderId="10" xfId="0" applyFont="1" applyFill="1" applyBorder="1" applyAlignment="1">
      <alignment horizontal="left" vertical="center" wrapText="1"/>
    </xf>
    <xf numFmtId="4" fontId="6" fillId="0" borderId="10" xfId="56" applyNumberFormat="1" applyFont="1" applyBorder="1" applyAlignment="1">
      <alignment vertical="center"/>
      <protection/>
    </xf>
    <xf numFmtId="4" fontId="6" fillId="32" borderId="10" xfId="67" applyNumberFormat="1" applyFont="1" applyFill="1" applyBorder="1" applyAlignment="1">
      <alignment vertical="center"/>
    </xf>
    <xf numFmtId="4" fontId="6" fillId="32" borderId="10" xfId="0" applyNumberFormat="1" applyFont="1" applyFill="1" applyBorder="1" applyAlignment="1">
      <alignment vertical="center" wrapText="1"/>
    </xf>
    <xf numFmtId="4" fontId="6" fillId="32" borderId="10" xfId="65" applyNumberFormat="1" applyFont="1" applyFill="1" applyBorder="1" applyAlignment="1">
      <alignment horizontal="right" vertical="center" wrapText="1"/>
    </xf>
    <xf numFmtId="4" fontId="6" fillId="0" borderId="10" xfId="67" applyNumberFormat="1" applyFont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4" fontId="15" fillId="33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4" fontId="6" fillId="36" borderId="10" xfId="65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4" fontId="64" fillId="0" borderId="0" xfId="0" applyNumberFormat="1" applyFont="1" applyFill="1" applyBorder="1" applyAlignment="1">
      <alignment horizontal="right" vertical="center"/>
    </xf>
    <xf numFmtId="4" fontId="64" fillId="0" borderId="0" xfId="65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0" xfId="42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2" xfId="65" applyNumberFormat="1" applyFont="1" applyBorder="1" applyAlignment="1">
      <alignment horizontal="center" vertical="center"/>
    </xf>
    <xf numFmtId="4" fontId="6" fillId="0" borderId="12" xfId="65" applyNumberFormat="1" applyFont="1" applyBorder="1" applyAlignment="1">
      <alignment horizontal="right" vertical="center"/>
    </xf>
    <xf numFmtId="0" fontId="15" fillId="4" borderId="11" xfId="0" applyFont="1" applyFill="1" applyBorder="1" applyAlignment="1">
      <alignment horizontal="left" vertical="center" wrapText="1"/>
    </xf>
    <xf numFmtId="4" fontId="15" fillId="4" borderId="16" xfId="65" applyNumberFormat="1" applyFont="1" applyFill="1" applyBorder="1" applyAlignment="1">
      <alignment horizontal="right" vertical="center"/>
    </xf>
    <xf numFmtId="4" fontId="15" fillId="0" borderId="10" xfId="65" applyNumberFormat="1" applyFont="1" applyFill="1" applyBorder="1" applyAlignment="1">
      <alignment horizontal="right" vertical="center"/>
    </xf>
    <xf numFmtId="4" fontId="15" fillId="0" borderId="16" xfId="65" applyNumberFormat="1" applyFont="1" applyFill="1" applyBorder="1" applyAlignment="1">
      <alignment horizontal="right" vertical="center"/>
    </xf>
    <xf numFmtId="4" fontId="6" fillId="32" borderId="16" xfId="0" applyNumberFormat="1" applyFont="1" applyFill="1" applyBorder="1" applyAlignment="1">
      <alignment horizontal="right" vertical="center"/>
    </xf>
    <xf numFmtId="4" fontId="15" fillId="33" borderId="10" xfId="65" applyNumberFormat="1" applyFont="1" applyFill="1" applyBorder="1" applyAlignment="1">
      <alignment vertical="center"/>
    </xf>
    <xf numFmtId="4" fontId="15" fillId="33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" fontId="6" fillId="0" borderId="0" xfId="65" applyNumberFormat="1" applyFont="1" applyAlignment="1">
      <alignment vertical="center"/>
    </xf>
    <xf numFmtId="0" fontId="15" fillId="2" borderId="10" xfId="0" applyFont="1" applyFill="1" applyBorder="1" applyAlignment="1">
      <alignment horizontal="left" vertical="center" wrapText="1"/>
    </xf>
    <xf numFmtId="4" fontId="15" fillId="2" borderId="10" xfId="0" applyNumberFormat="1" applyFont="1" applyFill="1" applyBorder="1" applyAlignment="1">
      <alignment horizontal="right" vertical="center"/>
    </xf>
    <xf numFmtId="4" fontId="15" fillId="2" borderId="10" xfId="65" applyNumberFormat="1" applyFont="1" applyFill="1" applyBorder="1" applyAlignment="1">
      <alignment vertical="center"/>
    </xf>
    <xf numFmtId="4" fontId="15" fillId="2" borderId="16" xfId="0" applyNumberFormat="1" applyFont="1" applyFill="1" applyBorder="1" applyAlignment="1">
      <alignment horizontal="right" vertical="center"/>
    </xf>
    <xf numFmtId="4" fontId="64" fillId="0" borderId="0" xfId="0" applyNumberFormat="1" applyFont="1" applyAlignment="1">
      <alignment horizontal="right" vertical="center"/>
    </xf>
    <xf numFmtId="4" fontId="64" fillId="0" borderId="0" xfId="65" applyNumberFormat="1" applyFont="1" applyAlignment="1">
      <alignment vertical="center"/>
    </xf>
    <xf numFmtId="4" fontId="1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4" fontId="6" fillId="35" borderId="10" xfId="65" applyNumberFormat="1" applyFont="1" applyFill="1" applyBorder="1" applyAlignment="1">
      <alignment horizontal="right" vertical="center" wrapText="1"/>
    </xf>
    <xf numFmtId="0" fontId="67" fillId="0" borderId="17" xfId="0" applyFont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67" fillId="0" borderId="1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 wrapText="1"/>
    </xf>
    <xf numFmtId="4" fontId="67" fillId="0" borderId="10" xfId="0" applyNumberFormat="1" applyFont="1" applyBorder="1" applyAlignment="1">
      <alignment vertical="center"/>
    </xf>
    <xf numFmtId="4" fontId="63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 applyProtection="1">
      <alignment horizontal="center" vertical="center"/>
      <protection/>
    </xf>
    <xf numFmtId="4" fontId="67" fillId="0" borderId="10" xfId="0" applyNumberFormat="1" applyFont="1" applyBorder="1" applyAlignment="1">
      <alignment vertical="center" wrapText="1"/>
    </xf>
    <xf numFmtId="4" fontId="67" fillId="0" borderId="14" xfId="0" applyNumberFormat="1" applyFont="1" applyBorder="1" applyAlignment="1">
      <alignment horizontal="right" vertical="center"/>
    </xf>
    <xf numFmtId="4" fontId="67" fillId="0" borderId="18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4" fontId="67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6" fillId="3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/>
    </xf>
    <xf numFmtId="0" fontId="15" fillId="33" borderId="10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2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2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63" fillId="0" borderId="10" xfId="0" applyFont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166" fontId="16" fillId="0" borderId="10" xfId="0" applyNumberFormat="1" applyFont="1" applyBorder="1" applyAlignment="1">
      <alignment horizontal="left" vertical="center" wrapText="1"/>
    </xf>
    <xf numFmtId="166" fontId="16" fillId="35" borderId="10" xfId="0" applyNumberFormat="1" applyFont="1" applyFill="1" applyBorder="1" applyAlignment="1">
      <alignment horizontal="left" vertical="center" wrapText="1"/>
    </xf>
    <xf numFmtId="44" fontId="16" fillId="32" borderId="10" xfId="0" applyNumberFormat="1" applyFont="1" applyFill="1" applyBorder="1" applyAlignment="1">
      <alignment horizontal="left" vertical="center" wrapText="1"/>
    </xf>
    <xf numFmtId="166" fontId="16" fillId="0" borderId="0" xfId="0" applyNumberFormat="1" applyFont="1" applyAlignment="1">
      <alignment horizontal="left" vertical="center" wrapText="1"/>
    </xf>
    <xf numFmtId="166" fontId="16" fillId="0" borderId="0" xfId="0" applyNumberFormat="1" applyFont="1" applyFill="1" applyAlignment="1">
      <alignment horizontal="left" vertical="center" wrapText="1"/>
    </xf>
    <xf numFmtId="44" fontId="16" fillId="0" borderId="12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7" fillId="0" borderId="19" xfId="0" applyNumberFormat="1" applyFont="1" applyBorder="1" applyAlignment="1">
      <alignment vertical="center" wrapText="1"/>
    </xf>
    <xf numFmtId="0" fontId="5" fillId="0" borderId="10" xfId="56" applyFont="1" applyBorder="1" applyAlignment="1">
      <alignment vertical="center"/>
      <protection/>
    </xf>
    <xf numFmtId="4" fontId="5" fillId="0" borderId="10" xfId="56" applyNumberFormat="1" applyFont="1" applyBorder="1" applyAlignment="1">
      <alignment horizontal="right" vertical="center"/>
      <protection/>
    </xf>
    <xf numFmtId="0" fontId="5" fillId="0" borderId="10" xfId="56" applyFont="1" applyBorder="1" applyAlignment="1">
      <alignment vertical="center" wrapText="1"/>
      <protection/>
    </xf>
    <xf numFmtId="4" fontId="5" fillId="0" borderId="10" xfId="56" applyNumberFormat="1" applyFont="1" applyBorder="1" applyAlignment="1">
      <alignment vertical="center" wrapText="1"/>
      <protection/>
    </xf>
    <xf numFmtId="4" fontId="5" fillId="0" borderId="10" xfId="56" applyNumberFormat="1" applyFont="1" applyBorder="1" applyAlignment="1">
      <alignment vertical="center"/>
      <protection/>
    </xf>
    <xf numFmtId="0" fontId="67" fillId="0" borderId="10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7" fillId="0" borderId="10" xfId="56" applyFont="1" applyBorder="1" applyAlignment="1">
      <alignment vertical="center" wrapText="1"/>
      <protection/>
    </xf>
    <xf numFmtId="4" fontId="67" fillId="0" borderId="10" xfId="56" applyNumberFormat="1" applyFont="1" applyBorder="1" applyAlignment="1">
      <alignment vertical="center" wrapText="1"/>
      <protection/>
    </xf>
    <xf numFmtId="2" fontId="67" fillId="0" borderId="10" xfId="56" applyNumberFormat="1" applyFont="1" applyBorder="1" applyAlignment="1">
      <alignment vertical="center" wrapText="1"/>
      <protection/>
    </xf>
    <xf numFmtId="2" fontId="67" fillId="0" borderId="10" xfId="0" applyNumberFormat="1" applyFont="1" applyBorder="1" applyAlignment="1">
      <alignment vertic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 vertical="center"/>
    </xf>
    <xf numFmtId="0" fontId="67" fillId="0" borderId="2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7" fillId="0" borderId="20" xfId="0" applyFont="1" applyBorder="1" applyAlignment="1">
      <alignment vertical="center" wrapText="1"/>
    </xf>
    <xf numFmtId="0" fontId="67" fillId="0" borderId="17" xfId="0" applyFont="1" applyBorder="1" applyAlignment="1">
      <alignment vertical="center"/>
    </xf>
    <xf numFmtId="0" fontId="67" fillId="0" borderId="10" xfId="56" applyFont="1" applyBorder="1" applyAlignment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0" fontId="67" fillId="0" borderId="16" xfId="56" applyFont="1" applyBorder="1" applyAlignment="1">
      <alignment vertical="center"/>
      <protection/>
    </xf>
    <xf numFmtId="0" fontId="5" fillId="0" borderId="16" xfId="0" applyFont="1" applyBorder="1" applyAlignment="1">
      <alignment horizontal="left" vertical="center" wrapText="1"/>
    </xf>
    <xf numFmtId="0" fontId="67" fillId="0" borderId="10" xfId="0" applyFont="1" applyFill="1" applyBorder="1" applyAlignment="1">
      <alignment vertical="center" wrapText="1"/>
    </xf>
    <xf numFmtId="0" fontId="67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2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Dziesiętny 3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17" xfId="54"/>
    <cellStyle name="Normalny 19" xfId="55"/>
    <cellStyle name="Normalny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3" xfId="68"/>
    <cellStyle name="Walutowy 3 2" xfId="69"/>
    <cellStyle name="Walutowy 4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2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5.75390625" style="0" customWidth="1"/>
    <col min="2" max="2" width="15.25390625" style="0" bestFit="1" customWidth="1"/>
    <col min="3" max="3" width="22.375" style="0" customWidth="1"/>
    <col min="4" max="4" width="20.375" style="63" customWidth="1"/>
    <col min="5" max="5" width="16.25390625" style="0" customWidth="1"/>
    <col min="6" max="6" width="13.625" style="63" bestFit="1" customWidth="1"/>
    <col min="7" max="7" width="16.375" style="63" bestFit="1" customWidth="1"/>
    <col min="9" max="9" width="11.00390625" style="0" bestFit="1" customWidth="1"/>
  </cols>
  <sheetData>
    <row r="1" spans="1:7" ht="15.75">
      <c r="A1" s="370" t="s">
        <v>4</v>
      </c>
      <c r="B1" s="370"/>
      <c r="C1" s="370"/>
      <c r="D1" s="370"/>
      <c r="E1" s="370"/>
      <c r="F1" s="370"/>
      <c r="G1" s="370"/>
    </row>
    <row r="2" spans="1:7" ht="15.75">
      <c r="A2" s="371" t="s">
        <v>5</v>
      </c>
      <c r="B2" s="372"/>
      <c r="C2" s="372"/>
      <c r="D2" s="372"/>
      <c r="E2" s="372"/>
      <c r="F2" s="372"/>
      <c r="G2" s="372"/>
    </row>
    <row r="3" spans="1:7" ht="15.75">
      <c r="A3" s="1"/>
      <c r="B3" s="2"/>
      <c r="C3" s="2"/>
      <c r="D3" s="52"/>
      <c r="E3" s="2"/>
      <c r="F3" s="52"/>
      <c r="G3" s="52"/>
    </row>
    <row r="4" spans="1:7" ht="38.25">
      <c r="A4" s="3" t="s">
        <v>0</v>
      </c>
      <c r="B4" s="4" t="s">
        <v>1</v>
      </c>
      <c r="C4" s="4" t="s">
        <v>8</v>
      </c>
      <c r="D4" s="53" t="s">
        <v>7</v>
      </c>
      <c r="E4" s="3" t="s">
        <v>2</v>
      </c>
      <c r="F4" s="64" t="s">
        <v>3</v>
      </c>
      <c r="G4" s="87" t="s">
        <v>6</v>
      </c>
    </row>
    <row r="5" spans="1:7" ht="15.75">
      <c r="A5" s="369">
        <v>1</v>
      </c>
      <c r="B5" s="369" t="s">
        <v>18</v>
      </c>
      <c r="C5" s="5" t="s">
        <v>10</v>
      </c>
      <c r="D5" s="10">
        <v>65732.88</v>
      </c>
      <c r="E5" s="12" t="s">
        <v>37</v>
      </c>
      <c r="F5" s="10">
        <v>0</v>
      </c>
      <c r="G5" s="10">
        <f>D5-F5</f>
        <v>65732.88</v>
      </c>
    </row>
    <row r="6" spans="1:7" ht="15.75">
      <c r="A6" s="369"/>
      <c r="B6" s="369"/>
      <c r="C6" s="5" t="s">
        <v>11</v>
      </c>
      <c r="D6" s="10">
        <v>3000</v>
      </c>
      <c r="E6" s="9" t="s">
        <v>14</v>
      </c>
      <c r="F6" s="10">
        <v>0</v>
      </c>
      <c r="G6" s="10">
        <f>D6-F6</f>
        <v>3000</v>
      </c>
    </row>
    <row r="7" spans="1:7" ht="54" customHeight="1">
      <c r="A7" s="369"/>
      <c r="B7" s="369"/>
      <c r="C7" s="6" t="s">
        <v>19</v>
      </c>
      <c r="D7" s="7">
        <f>1863+982.8+1452.6+986.4+984.6+986.4+982.8</f>
        <v>8238.599999999999</v>
      </c>
      <c r="E7" s="9" t="s">
        <v>14</v>
      </c>
      <c r="F7" s="10">
        <v>0</v>
      </c>
      <c r="G7" s="10">
        <f>D7-F7</f>
        <v>8238.599999999999</v>
      </c>
    </row>
    <row r="8" spans="1:7" ht="15.75">
      <c r="A8" s="369"/>
      <c r="B8" s="369"/>
      <c r="C8" s="5" t="s">
        <v>15</v>
      </c>
      <c r="D8" s="10">
        <v>1641.75</v>
      </c>
      <c r="E8" s="9" t="s">
        <v>16</v>
      </c>
      <c r="F8" s="10">
        <v>0</v>
      </c>
      <c r="G8" s="10">
        <f>D8-F8</f>
        <v>1641.75</v>
      </c>
    </row>
    <row r="9" spans="1:7" ht="15.75">
      <c r="A9" s="369"/>
      <c r="B9" s="19" t="s">
        <v>9</v>
      </c>
      <c r="C9" s="33"/>
      <c r="D9" s="56">
        <f>SUM(D5:D8)</f>
        <v>78613.23000000001</v>
      </c>
      <c r="E9" s="22"/>
      <c r="F9" s="56">
        <f>SUM(F5:F8)</f>
        <v>0</v>
      </c>
      <c r="G9" s="56">
        <f>SUM(G5:G8)</f>
        <v>78613.23000000001</v>
      </c>
    </row>
    <row r="10" spans="1:7" ht="15.75">
      <c r="A10" s="369">
        <v>2</v>
      </c>
      <c r="B10" s="365" t="s">
        <v>20</v>
      </c>
      <c r="C10" s="5" t="s">
        <v>11</v>
      </c>
      <c r="D10" s="10">
        <v>20000</v>
      </c>
      <c r="E10" s="12" t="s">
        <v>14</v>
      </c>
      <c r="F10" s="65">
        <f>SUM(F6:F9)</f>
        <v>0</v>
      </c>
      <c r="G10" s="10">
        <f>D10-F10</f>
        <v>20000</v>
      </c>
    </row>
    <row r="11" spans="1:7" ht="63">
      <c r="A11" s="369"/>
      <c r="B11" s="369"/>
      <c r="C11" s="6" t="s">
        <v>35</v>
      </c>
      <c r="D11" s="7">
        <v>4561.2</v>
      </c>
      <c r="E11" s="9" t="s">
        <v>14</v>
      </c>
      <c r="F11" s="65">
        <f>SUM(F7:F10)</f>
        <v>0</v>
      </c>
      <c r="G11" s="10">
        <f>D11-F11</f>
        <v>4561.2</v>
      </c>
    </row>
    <row r="12" spans="1:7" ht="15.75">
      <c r="A12" s="369"/>
      <c r="B12" s="369"/>
      <c r="C12" s="8" t="s">
        <v>36</v>
      </c>
      <c r="D12" s="7">
        <v>35000</v>
      </c>
      <c r="E12" s="9" t="s">
        <v>14</v>
      </c>
      <c r="F12" s="65">
        <f>SUM(F8:F11)</f>
        <v>0</v>
      </c>
      <c r="G12" s="10">
        <f>D12-F12</f>
        <v>35000</v>
      </c>
    </row>
    <row r="13" spans="1:7" ht="15.75">
      <c r="A13" s="369"/>
      <c r="B13" s="369"/>
      <c r="C13" s="5" t="s">
        <v>15</v>
      </c>
      <c r="D13" s="10">
        <v>3650.9</v>
      </c>
      <c r="E13" s="9" t="s">
        <v>16</v>
      </c>
      <c r="F13" s="65">
        <f>SUM(F9:F12)</f>
        <v>0</v>
      </c>
      <c r="G13" s="10">
        <f>D13-F13</f>
        <v>3650.9</v>
      </c>
    </row>
    <row r="14" spans="1:7" ht="15.75">
      <c r="A14" s="369"/>
      <c r="B14" s="19" t="s">
        <v>9</v>
      </c>
      <c r="C14" s="33"/>
      <c r="D14" s="56">
        <f>SUM(D10:D13)</f>
        <v>63212.1</v>
      </c>
      <c r="E14" s="22"/>
      <c r="F14" s="56">
        <f>SUM(F10:F13)</f>
        <v>0</v>
      </c>
      <c r="G14" s="56">
        <f>SUM(G10:G13)</f>
        <v>63212.1</v>
      </c>
    </row>
    <row r="15" spans="1:7" ht="15.75">
      <c r="A15" s="369">
        <v>3</v>
      </c>
      <c r="B15" s="365" t="s">
        <v>21</v>
      </c>
      <c r="C15" s="5" t="s">
        <v>11</v>
      </c>
      <c r="D15" s="10">
        <v>16662.61</v>
      </c>
      <c r="E15" s="9" t="s">
        <v>13</v>
      </c>
      <c r="F15" s="10">
        <v>0</v>
      </c>
      <c r="G15" s="10">
        <f>D15-F15</f>
        <v>16662.61</v>
      </c>
    </row>
    <row r="16" spans="1:7" ht="15.75">
      <c r="A16" s="369"/>
      <c r="B16" s="369"/>
      <c r="C16" s="11" t="s">
        <v>36</v>
      </c>
      <c r="D16" s="10">
        <v>25000</v>
      </c>
      <c r="E16" s="12" t="s">
        <v>14</v>
      </c>
      <c r="F16" s="10">
        <v>0</v>
      </c>
      <c r="G16" s="10">
        <f>D16-F16</f>
        <v>25000</v>
      </c>
    </row>
    <row r="17" spans="1:7" ht="78.75">
      <c r="A17" s="369"/>
      <c r="B17" s="369"/>
      <c r="C17" s="6" t="s">
        <v>70</v>
      </c>
      <c r="D17" s="7">
        <v>4705.93</v>
      </c>
      <c r="E17" s="9" t="s">
        <v>14</v>
      </c>
      <c r="F17" s="10">
        <f>705.26</f>
        <v>705.26</v>
      </c>
      <c r="G17" s="10">
        <f>D17-F17</f>
        <v>4000.67</v>
      </c>
    </row>
    <row r="18" spans="1:7" ht="15.75">
      <c r="A18" s="369"/>
      <c r="B18" s="369"/>
      <c r="C18" s="5" t="s">
        <v>15</v>
      </c>
      <c r="D18" s="10">
        <v>12522.36</v>
      </c>
      <c r="E18" s="9" t="s">
        <v>16</v>
      </c>
      <c r="F18" s="10">
        <v>63.82</v>
      </c>
      <c r="G18" s="10">
        <f>D18-F18</f>
        <v>12458.54</v>
      </c>
    </row>
    <row r="19" spans="1:7" ht="15.75">
      <c r="A19" s="369"/>
      <c r="B19" s="19" t="s">
        <v>9</v>
      </c>
      <c r="C19" s="33"/>
      <c r="D19" s="56">
        <f>SUM(D15:D18)</f>
        <v>58890.9</v>
      </c>
      <c r="E19" s="22"/>
      <c r="F19" s="56">
        <f>SUM(F15:F18)</f>
        <v>769.08</v>
      </c>
      <c r="G19" s="56">
        <f>SUM(G15:G18)</f>
        <v>58121.82</v>
      </c>
    </row>
    <row r="20" spans="1:7" ht="63">
      <c r="A20" s="369">
        <v>4</v>
      </c>
      <c r="B20" s="365" t="s">
        <v>17</v>
      </c>
      <c r="C20" s="6" t="s">
        <v>40</v>
      </c>
      <c r="D20" s="10">
        <v>8125.2</v>
      </c>
      <c r="E20" s="12" t="s">
        <v>14</v>
      </c>
      <c r="F20" s="10">
        <v>0</v>
      </c>
      <c r="G20" s="10">
        <f>D20-F20</f>
        <v>8125.2</v>
      </c>
    </row>
    <row r="21" spans="1:7" ht="78.75">
      <c r="A21" s="369"/>
      <c r="B21" s="369"/>
      <c r="C21" s="6" t="s">
        <v>38</v>
      </c>
      <c r="D21" s="10">
        <v>5157.05</v>
      </c>
      <c r="E21" s="12" t="s">
        <v>12</v>
      </c>
      <c r="F21" s="10">
        <f>5483.67-0.02</f>
        <v>5483.65</v>
      </c>
      <c r="G21" s="10">
        <f>D21-F21</f>
        <v>-326.59999999999945</v>
      </c>
    </row>
    <row r="22" spans="1:7" ht="15.75">
      <c r="A22" s="369"/>
      <c r="B22" s="369"/>
      <c r="C22" s="6" t="s">
        <v>39</v>
      </c>
      <c r="D22" s="7">
        <v>1000</v>
      </c>
      <c r="E22" s="9" t="s">
        <v>16</v>
      </c>
      <c r="F22" s="10">
        <v>0</v>
      </c>
      <c r="G22" s="10">
        <f>D22-F22</f>
        <v>1000</v>
      </c>
    </row>
    <row r="23" spans="1:7" ht="15.75">
      <c r="A23" s="369"/>
      <c r="B23" s="369"/>
      <c r="C23" s="5" t="s">
        <v>15</v>
      </c>
      <c r="D23" s="10">
        <v>1168.09</v>
      </c>
      <c r="E23" s="9" t="s">
        <v>16</v>
      </c>
      <c r="F23" s="10">
        <v>0</v>
      </c>
      <c r="G23" s="10">
        <f>D23-F23</f>
        <v>1168.09</v>
      </c>
    </row>
    <row r="24" spans="1:7" ht="15.75">
      <c r="A24" s="369"/>
      <c r="B24" s="19" t="s">
        <v>9</v>
      </c>
      <c r="C24" s="33"/>
      <c r="D24" s="56">
        <f>SUM(D20:D23)</f>
        <v>15450.34</v>
      </c>
      <c r="E24" s="22"/>
      <c r="F24" s="56">
        <f>SUM(F20:F23)</f>
        <v>5483.65</v>
      </c>
      <c r="G24" s="56">
        <f>SUM(G20:G23)</f>
        <v>9966.69</v>
      </c>
    </row>
    <row r="25" spans="1:7" ht="48" customHeight="1">
      <c r="A25" s="369">
        <v>5</v>
      </c>
      <c r="B25" s="365" t="s">
        <v>22</v>
      </c>
      <c r="C25" s="13" t="s">
        <v>41</v>
      </c>
      <c r="D25" s="10">
        <v>10645</v>
      </c>
      <c r="E25" s="16" t="s">
        <v>73</v>
      </c>
      <c r="F25" s="10">
        <v>0</v>
      </c>
      <c r="G25" s="10">
        <f>D25-F25</f>
        <v>10645</v>
      </c>
    </row>
    <row r="26" spans="1:7" ht="31.5">
      <c r="A26" s="369"/>
      <c r="B26" s="369"/>
      <c r="C26" s="13" t="s">
        <v>42</v>
      </c>
      <c r="D26" s="15">
        <v>1000</v>
      </c>
      <c r="E26" s="9" t="s">
        <v>16</v>
      </c>
      <c r="F26" s="10">
        <v>0</v>
      </c>
      <c r="G26" s="10">
        <f>D26-F26</f>
        <v>1000</v>
      </c>
    </row>
    <row r="27" spans="1:7" ht="15.75">
      <c r="A27" s="369"/>
      <c r="B27" s="369"/>
      <c r="C27" s="6" t="s">
        <v>43</v>
      </c>
      <c r="D27" s="7">
        <v>5000</v>
      </c>
      <c r="E27" s="9" t="s">
        <v>14</v>
      </c>
      <c r="F27" s="10">
        <v>0</v>
      </c>
      <c r="G27" s="10">
        <f>D27-F27</f>
        <v>5000</v>
      </c>
    </row>
    <row r="28" spans="1:7" ht="15.75">
      <c r="A28" s="369"/>
      <c r="B28" s="369"/>
      <c r="C28" s="5" t="s">
        <v>15</v>
      </c>
      <c r="D28" s="10">
        <v>404.19</v>
      </c>
      <c r="E28" s="9" t="s">
        <v>16</v>
      </c>
      <c r="F28" s="10">
        <v>0</v>
      </c>
      <c r="G28" s="10">
        <f>D28-F28</f>
        <v>404.19</v>
      </c>
    </row>
    <row r="29" spans="1:7" ht="15.75">
      <c r="A29" s="369"/>
      <c r="B29" s="19" t="s">
        <v>9</v>
      </c>
      <c r="C29" s="33"/>
      <c r="D29" s="56">
        <f>SUM(D25:D28)</f>
        <v>17049.19</v>
      </c>
      <c r="E29" s="22"/>
      <c r="F29" s="56">
        <f>SUM(F25:F28)</f>
        <v>0</v>
      </c>
      <c r="G29" s="56">
        <f>SUM(G25:G28)</f>
        <v>17049.19</v>
      </c>
    </row>
    <row r="30" spans="1:7" ht="31.5">
      <c r="A30" s="369">
        <v>6</v>
      </c>
      <c r="B30" s="365" t="s">
        <v>23</v>
      </c>
      <c r="C30" s="11" t="s">
        <v>44</v>
      </c>
      <c r="D30" s="10">
        <v>8607.56</v>
      </c>
      <c r="E30" s="9" t="s">
        <v>13</v>
      </c>
      <c r="F30" s="10">
        <v>0</v>
      </c>
      <c r="G30" s="10">
        <f>D30-F30</f>
        <v>8607.56</v>
      </c>
    </row>
    <row r="31" spans="1:7" ht="78.75">
      <c r="A31" s="369"/>
      <c r="B31" s="369"/>
      <c r="C31" s="6" t="s">
        <v>45</v>
      </c>
      <c r="D31" s="7">
        <v>10425.92</v>
      </c>
      <c r="E31" s="9" t="s">
        <v>14</v>
      </c>
      <c r="F31" s="10">
        <v>0</v>
      </c>
      <c r="G31" s="10">
        <f>D31-F31</f>
        <v>10425.92</v>
      </c>
    </row>
    <row r="32" spans="1:7" ht="15.75">
      <c r="A32" s="369"/>
      <c r="B32" s="369"/>
      <c r="C32" s="5" t="s">
        <v>15</v>
      </c>
      <c r="D32" s="10">
        <v>3199.19</v>
      </c>
      <c r="E32" s="9" t="s">
        <v>16</v>
      </c>
      <c r="F32" s="10">
        <v>0</v>
      </c>
      <c r="G32" s="10">
        <f>D32-F32</f>
        <v>3199.19</v>
      </c>
    </row>
    <row r="33" spans="1:7" ht="15.75">
      <c r="A33" s="369"/>
      <c r="B33" s="19" t="s">
        <v>9</v>
      </c>
      <c r="C33" s="33"/>
      <c r="D33" s="56">
        <f>SUM(D30:D32)</f>
        <v>22232.67</v>
      </c>
      <c r="E33" s="22"/>
      <c r="F33" s="56">
        <f>SUM(F30:F32)</f>
        <v>0</v>
      </c>
      <c r="G33" s="56">
        <f>SUM(G30:G32)</f>
        <v>22232.67</v>
      </c>
    </row>
    <row r="34" spans="1:7" ht="29.25" customHeight="1">
      <c r="A34" s="369">
        <v>7</v>
      </c>
      <c r="B34" s="365" t="s">
        <v>24</v>
      </c>
      <c r="C34" s="11" t="s">
        <v>42</v>
      </c>
      <c r="D34" s="10">
        <v>1500</v>
      </c>
      <c r="E34" s="9" t="s">
        <v>16</v>
      </c>
      <c r="F34" s="10">
        <v>0</v>
      </c>
      <c r="G34" s="10">
        <f>D34-F34</f>
        <v>1500</v>
      </c>
    </row>
    <row r="35" spans="1:7" ht="63">
      <c r="A35" s="369"/>
      <c r="B35" s="369"/>
      <c r="C35" s="6" t="s">
        <v>46</v>
      </c>
      <c r="D35" s="7">
        <v>6094.9</v>
      </c>
      <c r="E35" s="9" t="s">
        <v>14</v>
      </c>
      <c r="F35" s="10">
        <v>0</v>
      </c>
      <c r="G35" s="10">
        <f>D35-F35</f>
        <v>6094.9</v>
      </c>
    </row>
    <row r="36" spans="1:7" ht="15.75">
      <c r="A36" s="369"/>
      <c r="B36" s="369"/>
      <c r="C36" s="5" t="s">
        <v>15</v>
      </c>
      <c r="D36" s="10">
        <v>3461.4</v>
      </c>
      <c r="E36" s="9" t="s">
        <v>16</v>
      </c>
      <c r="F36" s="10">
        <v>0</v>
      </c>
      <c r="G36" s="10">
        <f>D36-F36</f>
        <v>3461.4</v>
      </c>
    </row>
    <row r="37" spans="1:7" ht="15.75">
      <c r="A37" s="374"/>
      <c r="B37" s="94" t="s">
        <v>9</v>
      </c>
      <c r="C37" s="95"/>
      <c r="D37" s="96">
        <f>SUM(D34:D36)</f>
        <v>11056.3</v>
      </c>
      <c r="E37" s="97"/>
      <c r="F37" s="96">
        <f>SUM(F34:F36)</f>
        <v>0</v>
      </c>
      <c r="G37" s="96">
        <f>SUM(G34:G36)</f>
        <v>11056.3</v>
      </c>
    </row>
    <row r="38" spans="1:7" s="93" customFormat="1" ht="15.75">
      <c r="A38" s="104"/>
      <c r="B38" s="105"/>
      <c r="C38" s="106"/>
      <c r="D38" s="107"/>
      <c r="E38" s="108"/>
      <c r="F38" s="107"/>
      <c r="G38" s="107"/>
    </row>
    <row r="39" spans="1:7" ht="27.75" customHeight="1">
      <c r="A39" s="373">
        <v>8</v>
      </c>
      <c r="B39" s="367" t="s">
        <v>25</v>
      </c>
      <c r="C39" s="55" t="s">
        <v>47</v>
      </c>
      <c r="D39" s="98">
        <v>8607.56</v>
      </c>
      <c r="E39" s="99" t="s">
        <v>13</v>
      </c>
      <c r="F39" s="98">
        <v>0</v>
      </c>
      <c r="G39" s="98">
        <f>D39-F39</f>
        <v>8607.56</v>
      </c>
    </row>
    <row r="40" spans="1:7" ht="33" customHeight="1">
      <c r="A40" s="369"/>
      <c r="B40" s="369"/>
      <c r="C40" s="11" t="s">
        <v>48</v>
      </c>
      <c r="D40" s="10">
        <v>10500</v>
      </c>
      <c r="E40" s="12" t="s">
        <v>14</v>
      </c>
      <c r="F40" s="10">
        <v>0</v>
      </c>
      <c r="G40" s="10">
        <f>D40-F40</f>
        <v>10500</v>
      </c>
    </row>
    <row r="41" spans="1:7" ht="15.75">
      <c r="A41" s="369"/>
      <c r="B41" s="369"/>
      <c r="C41" s="5" t="s">
        <v>15</v>
      </c>
      <c r="D41" s="10">
        <v>2080.38</v>
      </c>
      <c r="E41" s="9" t="s">
        <v>16</v>
      </c>
      <c r="F41" s="10">
        <v>0</v>
      </c>
      <c r="G41" s="10">
        <f>D41-F41</f>
        <v>2080.38</v>
      </c>
    </row>
    <row r="42" spans="1:7" ht="15.75">
      <c r="A42" s="369"/>
      <c r="B42" s="19" t="s">
        <v>9</v>
      </c>
      <c r="C42" s="33"/>
      <c r="D42" s="56">
        <f>SUM(D39:D41)</f>
        <v>21187.94</v>
      </c>
      <c r="E42" s="22"/>
      <c r="F42" s="56">
        <f>SUM(F39:F41)</f>
        <v>0</v>
      </c>
      <c r="G42" s="56">
        <f>SUM(G39:G41)</f>
        <v>21187.94</v>
      </c>
    </row>
    <row r="43" spans="1:7" ht="31.5">
      <c r="A43" s="369">
        <v>9</v>
      </c>
      <c r="B43" s="365" t="s">
        <v>26</v>
      </c>
      <c r="C43" s="6" t="s">
        <v>51</v>
      </c>
      <c r="D43" s="10">
        <v>30000</v>
      </c>
      <c r="E43" s="12" t="s">
        <v>14</v>
      </c>
      <c r="F43" s="10">
        <v>0</v>
      </c>
      <c r="G43" s="10">
        <f>D43-F43</f>
        <v>30000</v>
      </c>
    </row>
    <row r="44" spans="1:7" ht="47.25">
      <c r="A44" s="369"/>
      <c r="B44" s="369"/>
      <c r="C44" s="6" t="s">
        <v>71</v>
      </c>
      <c r="D44" s="10">
        <v>3000</v>
      </c>
      <c r="E44" s="12" t="s">
        <v>14</v>
      </c>
      <c r="F44" s="10">
        <v>0</v>
      </c>
      <c r="G44" s="10">
        <f>D44-F44</f>
        <v>3000</v>
      </c>
    </row>
    <row r="45" spans="1:7" ht="47.25">
      <c r="A45" s="369"/>
      <c r="B45" s="369"/>
      <c r="C45" s="6" t="s">
        <v>49</v>
      </c>
      <c r="D45" s="7">
        <v>1428.38</v>
      </c>
      <c r="E45" s="9" t="s">
        <v>14</v>
      </c>
      <c r="F45" s="10">
        <v>1943.51</v>
      </c>
      <c r="G45" s="10">
        <f>D45-F45</f>
        <v>-515.1299999999999</v>
      </c>
    </row>
    <row r="46" spans="1:7" ht="31.5">
      <c r="A46" s="369"/>
      <c r="B46" s="369"/>
      <c r="C46" s="6" t="s">
        <v>50</v>
      </c>
      <c r="D46" s="10">
        <v>465.73</v>
      </c>
      <c r="E46" s="9" t="s">
        <v>16</v>
      </c>
      <c r="F46" s="10">
        <v>0</v>
      </c>
      <c r="G46" s="10">
        <f>D46-F46</f>
        <v>465.73</v>
      </c>
    </row>
    <row r="47" spans="1:7" ht="15.75">
      <c r="A47" s="369"/>
      <c r="B47" s="19" t="s">
        <v>9</v>
      </c>
      <c r="C47" s="33"/>
      <c r="D47" s="56">
        <f>SUM(D43:D46)</f>
        <v>34894.11</v>
      </c>
      <c r="E47" s="22"/>
      <c r="F47" s="56">
        <f>SUM(F43:F46)</f>
        <v>1943.51</v>
      </c>
      <c r="G47" s="56">
        <f>SUM(G43:G46)</f>
        <v>32950.6</v>
      </c>
    </row>
    <row r="48" spans="1:7" ht="33.75" customHeight="1">
      <c r="A48" s="369">
        <v>10</v>
      </c>
      <c r="B48" s="365" t="s">
        <v>27</v>
      </c>
      <c r="C48" s="6" t="s">
        <v>52</v>
      </c>
      <c r="D48" s="10">
        <v>6500</v>
      </c>
      <c r="E48" s="12" t="s">
        <v>14</v>
      </c>
      <c r="F48" s="10">
        <v>0</v>
      </c>
      <c r="G48" s="10">
        <f>D48-F48</f>
        <v>6500</v>
      </c>
    </row>
    <row r="49" spans="1:7" ht="78.75">
      <c r="A49" s="369"/>
      <c r="B49" s="369"/>
      <c r="C49" s="6" t="s">
        <v>53</v>
      </c>
      <c r="D49" s="7">
        <v>9009.24</v>
      </c>
      <c r="E49" s="9" t="s">
        <v>14</v>
      </c>
      <c r="F49" s="10">
        <v>0</v>
      </c>
      <c r="G49" s="10">
        <f>D49-F49</f>
        <v>9009.24</v>
      </c>
    </row>
    <row r="50" spans="1:7" ht="15.75">
      <c r="A50" s="369"/>
      <c r="B50" s="369"/>
      <c r="C50" s="5" t="s">
        <v>15</v>
      </c>
      <c r="D50" s="10">
        <v>1324.19</v>
      </c>
      <c r="E50" s="9" t="s">
        <v>16</v>
      </c>
      <c r="F50" s="10">
        <v>0</v>
      </c>
      <c r="G50" s="10">
        <f>D50-F50</f>
        <v>1324.19</v>
      </c>
    </row>
    <row r="51" spans="1:7" ht="15.75">
      <c r="A51" s="369"/>
      <c r="B51" s="19" t="s">
        <v>9</v>
      </c>
      <c r="C51" s="33"/>
      <c r="D51" s="56">
        <f>SUM(D48:D50)</f>
        <v>16833.43</v>
      </c>
      <c r="E51" s="22"/>
      <c r="F51" s="56">
        <f>SUM(F48:F50)</f>
        <v>0</v>
      </c>
      <c r="G51" s="56">
        <f>SUM(G48:G50)</f>
        <v>16833.43</v>
      </c>
    </row>
    <row r="52" spans="1:7" ht="15.75" customHeight="1">
      <c r="A52" s="369">
        <v>11</v>
      </c>
      <c r="B52" s="365" t="s">
        <v>28</v>
      </c>
      <c r="C52" s="6" t="s">
        <v>54</v>
      </c>
      <c r="D52" s="10">
        <v>31855.16</v>
      </c>
      <c r="E52" s="9" t="s">
        <v>37</v>
      </c>
      <c r="F52" s="10">
        <v>0</v>
      </c>
      <c r="G52" s="10">
        <f>D52-F52</f>
        <v>31855.16</v>
      </c>
    </row>
    <row r="53" spans="1:7" ht="15.75" customHeight="1">
      <c r="A53" s="369"/>
      <c r="B53" s="365"/>
      <c r="C53" s="6" t="s">
        <v>55</v>
      </c>
      <c r="D53" s="10">
        <v>61687.75</v>
      </c>
      <c r="E53" s="12" t="s">
        <v>37</v>
      </c>
      <c r="F53" s="10">
        <v>0</v>
      </c>
      <c r="G53" s="10">
        <f>D53-F53</f>
        <v>61687.75</v>
      </c>
    </row>
    <row r="54" spans="1:7" ht="31.5">
      <c r="A54" s="369"/>
      <c r="B54" s="369"/>
      <c r="C54" s="6" t="s">
        <v>72</v>
      </c>
      <c r="D54" s="10">
        <v>13003.2</v>
      </c>
      <c r="E54" s="12" t="s">
        <v>37</v>
      </c>
      <c r="F54" s="10">
        <v>0</v>
      </c>
      <c r="G54" s="10">
        <f>D54-F54</f>
        <v>13003.2</v>
      </c>
    </row>
    <row r="55" spans="1:7" ht="15.75">
      <c r="A55" s="369"/>
      <c r="B55" s="369"/>
      <c r="C55" s="5" t="s">
        <v>15</v>
      </c>
      <c r="D55" s="10">
        <v>866.62</v>
      </c>
      <c r="E55" s="9" t="s">
        <v>16</v>
      </c>
      <c r="F55" s="10">
        <v>0</v>
      </c>
      <c r="G55" s="10">
        <f>D55-F55</f>
        <v>866.62</v>
      </c>
    </row>
    <row r="56" spans="1:7" ht="15.75">
      <c r="A56" s="369"/>
      <c r="B56" s="19" t="s">
        <v>9</v>
      </c>
      <c r="C56" s="33"/>
      <c r="D56" s="56">
        <f>SUM(D52:D55)</f>
        <v>107412.73</v>
      </c>
      <c r="E56" s="22"/>
      <c r="F56" s="56">
        <f>SUM(F52:F55)</f>
        <v>0</v>
      </c>
      <c r="G56" s="56">
        <f>SUM(G52:G55)</f>
        <v>107412.73</v>
      </c>
    </row>
    <row r="57" spans="1:7" ht="31.5">
      <c r="A57" s="369">
        <v>12</v>
      </c>
      <c r="B57" s="365" t="s">
        <v>34</v>
      </c>
      <c r="C57" s="6" t="s">
        <v>58</v>
      </c>
      <c r="D57" s="10">
        <v>32000</v>
      </c>
      <c r="E57" s="12" t="s">
        <v>14</v>
      </c>
      <c r="F57" s="10">
        <v>0</v>
      </c>
      <c r="G57" s="10">
        <f>D57-F57</f>
        <v>32000</v>
      </c>
    </row>
    <row r="58" spans="1:7" ht="31.5">
      <c r="A58" s="369"/>
      <c r="B58" s="365"/>
      <c r="C58" s="6" t="s">
        <v>56</v>
      </c>
      <c r="D58" s="10">
        <v>1500</v>
      </c>
      <c r="E58" s="12" t="s">
        <v>16</v>
      </c>
      <c r="F58" s="10">
        <v>0</v>
      </c>
      <c r="G58" s="10">
        <f>D58-F58</f>
        <v>1500</v>
      </c>
    </row>
    <row r="59" spans="1:7" ht="63">
      <c r="A59" s="369"/>
      <c r="B59" s="365"/>
      <c r="C59" s="6" t="s">
        <v>57</v>
      </c>
      <c r="D59" s="7">
        <v>490.75</v>
      </c>
      <c r="E59" s="9" t="s">
        <v>14</v>
      </c>
      <c r="F59" s="10">
        <v>0</v>
      </c>
      <c r="G59" s="10">
        <f>D59-F59</f>
        <v>490.75</v>
      </c>
    </row>
    <row r="60" spans="1:7" ht="15.75">
      <c r="A60" s="369"/>
      <c r="B60" s="365"/>
      <c r="C60" s="6" t="s">
        <v>39</v>
      </c>
      <c r="D60" s="10">
        <v>1641.75</v>
      </c>
      <c r="E60" s="9" t="s">
        <v>16</v>
      </c>
      <c r="F60" s="10">
        <v>0</v>
      </c>
      <c r="G60" s="10">
        <f>D60-F60</f>
        <v>1641.75</v>
      </c>
    </row>
    <row r="61" spans="1:7" ht="15.75">
      <c r="A61" s="369"/>
      <c r="B61" s="365"/>
      <c r="C61" s="6" t="s">
        <v>15</v>
      </c>
      <c r="D61" s="10"/>
      <c r="E61" s="9"/>
      <c r="F61" s="10"/>
      <c r="G61" s="10"/>
    </row>
    <row r="62" spans="1:7" ht="15.75">
      <c r="A62" s="369"/>
      <c r="B62" s="19" t="s">
        <v>9</v>
      </c>
      <c r="C62" s="33"/>
      <c r="D62" s="56">
        <f>SUM(D57:D60)</f>
        <v>35632.5</v>
      </c>
      <c r="E62" s="22"/>
      <c r="F62" s="56">
        <f>SUM(F57:F60)</f>
        <v>0</v>
      </c>
      <c r="G62" s="56">
        <f>SUM(G57:G60)</f>
        <v>35632.5</v>
      </c>
    </row>
    <row r="63" spans="1:7" ht="30.75" customHeight="1">
      <c r="A63" s="369">
        <v>13</v>
      </c>
      <c r="B63" s="365" t="s">
        <v>29</v>
      </c>
      <c r="C63" s="6" t="s">
        <v>59</v>
      </c>
      <c r="D63" s="10">
        <v>1500</v>
      </c>
      <c r="E63" s="9" t="s">
        <v>16</v>
      </c>
      <c r="F63" s="10">
        <v>0</v>
      </c>
      <c r="G63" s="10">
        <f aca="true" t="shared" si="0" ref="G63:G68">D63-F63</f>
        <v>1500</v>
      </c>
    </row>
    <row r="64" spans="1:7" ht="31.5">
      <c r="A64" s="369"/>
      <c r="B64" s="365"/>
      <c r="C64" s="6" t="s">
        <v>60</v>
      </c>
      <c r="D64" s="10">
        <v>8000</v>
      </c>
      <c r="E64" s="9" t="s">
        <v>13</v>
      </c>
      <c r="F64" s="10">
        <f>2001.05+5.17</f>
        <v>2006.22</v>
      </c>
      <c r="G64" s="10">
        <f t="shared" si="0"/>
        <v>5993.78</v>
      </c>
    </row>
    <row r="65" spans="1:7" ht="78.75">
      <c r="A65" s="369"/>
      <c r="B65" s="365"/>
      <c r="C65" s="6" t="s">
        <v>62</v>
      </c>
      <c r="D65" s="7">
        <v>3500</v>
      </c>
      <c r="E65" s="9" t="s">
        <v>14</v>
      </c>
      <c r="F65" s="10">
        <v>0</v>
      </c>
      <c r="G65" s="10">
        <f t="shared" si="0"/>
        <v>3500</v>
      </c>
    </row>
    <row r="66" spans="1:7" ht="63">
      <c r="A66" s="369"/>
      <c r="B66" s="365"/>
      <c r="C66" s="6" t="s">
        <v>61</v>
      </c>
      <c r="D66" s="10">
        <v>2000</v>
      </c>
      <c r="E66" s="9" t="s">
        <v>14</v>
      </c>
      <c r="F66" s="10">
        <v>0</v>
      </c>
      <c r="G66" s="10">
        <f t="shared" si="0"/>
        <v>2000</v>
      </c>
    </row>
    <row r="67" spans="1:7" ht="43.5" customHeight="1">
      <c r="A67" s="369"/>
      <c r="B67" s="365"/>
      <c r="C67" s="6" t="s">
        <v>63</v>
      </c>
      <c r="D67" s="10">
        <v>1798.2</v>
      </c>
      <c r="E67" s="9" t="s">
        <v>14</v>
      </c>
      <c r="F67" s="10">
        <v>0</v>
      </c>
      <c r="G67" s="10">
        <f t="shared" si="0"/>
        <v>1798.2</v>
      </c>
    </row>
    <row r="68" spans="1:7" ht="16.5" customHeight="1">
      <c r="A68" s="369"/>
      <c r="B68" s="365"/>
      <c r="C68" s="5" t="s">
        <v>15</v>
      </c>
      <c r="D68" s="10">
        <v>2467.53</v>
      </c>
      <c r="E68" s="9" t="s">
        <v>16</v>
      </c>
      <c r="F68" s="10">
        <v>0</v>
      </c>
      <c r="G68" s="10">
        <f t="shared" si="0"/>
        <v>2467.53</v>
      </c>
    </row>
    <row r="69" spans="1:9" ht="15.75">
      <c r="A69" s="374"/>
      <c r="B69" s="94" t="s">
        <v>9</v>
      </c>
      <c r="C69" s="109"/>
      <c r="D69" s="96">
        <f>SUM(D63:D68)</f>
        <v>19265.73</v>
      </c>
      <c r="E69" s="97"/>
      <c r="F69" s="96">
        <f>SUM(F63:F68)</f>
        <v>2006.22</v>
      </c>
      <c r="G69" s="96">
        <f>SUM(G63:G68)</f>
        <v>17259.51</v>
      </c>
      <c r="I69" s="14"/>
    </row>
    <row r="70" spans="1:9" ht="15.75">
      <c r="A70" s="113"/>
      <c r="B70" s="114"/>
      <c r="C70" s="115"/>
      <c r="D70" s="116"/>
      <c r="E70" s="117"/>
      <c r="F70" s="116"/>
      <c r="G70" s="116"/>
      <c r="I70" s="14"/>
    </row>
    <row r="71" spans="1:9" ht="15.75">
      <c r="A71" s="100"/>
      <c r="B71" s="101"/>
      <c r="C71" s="112"/>
      <c r="D71" s="102"/>
      <c r="E71" s="103"/>
      <c r="F71" s="102"/>
      <c r="G71" s="102"/>
      <c r="I71" s="14"/>
    </row>
    <row r="72" spans="1:9" ht="15.75">
      <c r="A72" s="100"/>
      <c r="B72" s="101"/>
      <c r="C72" s="112"/>
      <c r="D72" s="102"/>
      <c r="E72" s="103"/>
      <c r="F72" s="102"/>
      <c r="G72" s="102"/>
      <c r="I72" s="14"/>
    </row>
    <row r="73" spans="1:9" ht="15.75">
      <c r="A73" s="118"/>
      <c r="B73" s="119"/>
      <c r="C73" s="120"/>
      <c r="D73" s="121"/>
      <c r="E73" s="122"/>
      <c r="F73" s="121"/>
      <c r="G73" s="121"/>
      <c r="I73" s="14"/>
    </row>
    <row r="74" spans="1:7" ht="47.25">
      <c r="A74" s="373">
        <v>14</v>
      </c>
      <c r="B74" s="367" t="s">
        <v>30</v>
      </c>
      <c r="C74" s="110" t="s">
        <v>64</v>
      </c>
      <c r="D74" s="98">
        <v>8516</v>
      </c>
      <c r="E74" s="111" t="s">
        <v>73</v>
      </c>
      <c r="F74" s="98">
        <v>0</v>
      </c>
      <c r="G74" s="98">
        <f>D74-F74</f>
        <v>8516</v>
      </c>
    </row>
    <row r="75" spans="1:7" ht="31.5">
      <c r="A75" s="369"/>
      <c r="B75" s="369"/>
      <c r="C75" s="6" t="s">
        <v>59</v>
      </c>
      <c r="D75" s="10">
        <v>1000</v>
      </c>
      <c r="E75" s="9" t="s">
        <v>16</v>
      </c>
      <c r="F75" s="10">
        <v>1508.16</v>
      </c>
      <c r="G75" s="10">
        <f>D75-F75</f>
        <v>-508.1600000000001</v>
      </c>
    </row>
    <row r="76" spans="1:7" ht="47.25">
      <c r="A76" s="369"/>
      <c r="B76" s="369"/>
      <c r="C76" s="6" t="s">
        <v>65</v>
      </c>
      <c r="D76" s="7">
        <v>5266.8</v>
      </c>
      <c r="E76" s="9" t="s">
        <v>14</v>
      </c>
      <c r="F76" s="10">
        <v>0</v>
      </c>
      <c r="G76" s="10">
        <f>D76-F76</f>
        <v>5266.8</v>
      </c>
    </row>
    <row r="77" spans="1:7" ht="15.75">
      <c r="A77" s="369"/>
      <c r="B77" s="369"/>
      <c r="C77" s="11" t="s">
        <v>15</v>
      </c>
      <c r="D77" s="10">
        <v>579.52</v>
      </c>
      <c r="E77" s="9" t="s">
        <v>16</v>
      </c>
      <c r="F77" s="10">
        <v>0</v>
      </c>
      <c r="G77" s="10">
        <f>D77-F77</f>
        <v>579.52</v>
      </c>
    </row>
    <row r="78" spans="1:7" ht="15.75">
      <c r="A78" s="369"/>
      <c r="B78" s="19" t="s">
        <v>9</v>
      </c>
      <c r="C78" s="33"/>
      <c r="D78" s="56">
        <f>SUM(D74:D77)</f>
        <v>15362.32</v>
      </c>
      <c r="E78" s="22"/>
      <c r="F78" s="56">
        <f>SUM(F74:F77)</f>
        <v>1508.16</v>
      </c>
      <c r="G78" s="56">
        <f>SUM(G74:G77)</f>
        <v>13854.16</v>
      </c>
    </row>
    <row r="79" spans="1:7" ht="51.75" customHeight="1">
      <c r="A79" s="369">
        <v>15</v>
      </c>
      <c r="B79" s="365" t="s">
        <v>31</v>
      </c>
      <c r="C79" s="6" t="s">
        <v>64</v>
      </c>
      <c r="D79" s="10">
        <v>8516</v>
      </c>
      <c r="E79" s="16" t="s">
        <v>73</v>
      </c>
      <c r="F79" s="10">
        <v>0</v>
      </c>
      <c r="G79" s="10">
        <f>D79-F79</f>
        <v>8516</v>
      </c>
    </row>
    <row r="80" spans="1:7" ht="47.25">
      <c r="A80" s="369"/>
      <c r="B80" s="369"/>
      <c r="C80" s="6" t="s">
        <v>67</v>
      </c>
      <c r="D80" s="10">
        <v>1798.2</v>
      </c>
      <c r="E80" s="9" t="s">
        <v>13</v>
      </c>
      <c r="F80" s="10">
        <v>0</v>
      </c>
      <c r="G80" s="10">
        <f>D80-F80</f>
        <v>1798.2</v>
      </c>
    </row>
    <row r="81" spans="1:7" ht="67.5" customHeight="1">
      <c r="A81" s="369"/>
      <c r="B81" s="369"/>
      <c r="C81" s="6" t="s">
        <v>66</v>
      </c>
      <c r="D81" s="7">
        <v>2000</v>
      </c>
      <c r="E81" s="9" t="s">
        <v>14</v>
      </c>
      <c r="F81" s="10">
        <v>0</v>
      </c>
      <c r="G81" s="10">
        <f>D81-F81</f>
        <v>2000</v>
      </c>
    </row>
    <row r="82" spans="1:7" ht="15.75">
      <c r="A82" s="369"/>
      <c r="B82" s="369"/>
      <c r="C82" s="5" t="s">
        <v>15</v>
      </c>
      <c r="D82" s="10">
        <v>2273.43</v>
      </c>
      <c r="E82" s="9" t="s">
        <v>16</v>
      </c>
      <c r="F82" s="10">
        <v>0</v>
      </c>
      <c r="G82" s="10">
        <f>D82-F82</f>
        <v>2273.43</v>
      </c>
    </row>
    <row r="83" spans="1:7" ht="15.75">
      <c r="A83" s="369"/>
      <c r="B83" s="19" t="s">
        <v>9</v>
      </c>
      <c r="C83" s="33"/>
      <c r="D83" s="56">
        <f>SUM(D79:D82)</f>
        <v>14587.630000000001</v>
      </c>
      <c r="E83" s="22"/>
      <c r="F83" s="56">
        <f>SUM(F79:F82)</f>
        <v>0</v>
      </c>
      <c r="G83" s="56">
        <f>SUM(G79:G82)</f>
        <v>14587.630000000001</v>
      </c>
    </row>
    <row r="84" spans="1:7" ht="35.25" customHeight="1">
      <c r="A84" s="369">
        <v>16</v>
      </c>
      <c r="B84" s="365" t="s">
        <v>32</v>
      </c>
      <c r="C84" s="6" t="s">
        <v>64</v>
      </c>
      <c r="D84" s="10">
        <v>8516</v>
      </c>
      <c r="E84" s="9" t="s">
        <v>12</v>
      </c>
      <c r="F84" s="10">
        <v>0</v>
      </c>
      <c r="G84" s="10">
        <f>D84-F84</f>
        <v>8516</v>
      </c>
    </row>
    <row r="85" spans="1:7" ht="31.5">
      <c r="A85" s="369"/>
      <c r="B85" s="369"/>
      <c r="C85" s="6" t="s">
        <v>59</v>
      </c>
      <c r="D85" s="10">
        <v>1000</v>
      </c>
      <c r="E85" s="9" t="s">
        <v>16</v>
      </c>
      <c r="F85" s="10">
        <v>0</v>
      </c>
      <c r="G85" s="10">
        <f>D85-F85</f>
        <v>1000</v>
      </c>
    </row>
    <row r="86" spans="1:7" ht="47.25">
      <c r="A86" s="369"/>
      <c r="B86" s="369"/>
      <c r="C86" s="6" t="s">
        <v>68</v>
      </c>
      <c r="D86" s="7">
        <v>3468.6</v>
      </c>
      <c r="E86" s="9" t="s">
        <v>14</v>
      </c>
      <c r="F86" s="10">
        <v>0</v>
      </c>
      <c r="G86" s="10">
        <f>D86-F86</f>
        <v>3468.6</v>
      </c>
    </row>
    <row r="87" spans="1:7" ht="15.75">
      <c r="A87" s="369"/>
      <c r="B87" s="369"/>
      <c r="C87" s="11" t="s">
        <v>15</v>
      </c>
      <c r="D87" s="10">
        <v>782.75</v>
      </c>
      <c r="E87" s="9" t="s">
        <v>16</v>
      </c>
      <c r="F87" s="10">
        <v>0</v>
      </c>
      <c r="G87" s="10">
        <f>D87-F87</f>
        <v>782.75</v>
      </c>
    </row>
    <row r="88" spans="1:7" ht="15.75">
      <c r="A88" s="369"/>
      <c r="B88" s="19" t="s">
        <v>9</v>
      </c>
      <c r="C88" s="33"/>
      <c r="D88" s="56">
        <f>SUM(D84:D87)</f>
        <v>13767.35</v>
      </c>
      <c r="E88" s="22"/>
      <c r="F88" s="56">
        <f>SUM(F84:F87)</f>
        <v>0</v>
      </c>
      <c r="G88" s="56">
        <f>SUM(G84:G87)</f>
        <v>13767.35</v>
      </c>
    </row>
    <row r="89" spans="1:7" ht="47.25" customHeight="1">
      <c r="A89" s="369">
        <v>17</v>
      </c>
      <c r="B89" s="365" t="s">
        <v>33</v>
      </c>
      <c r="C89" s="6" t="s">
        <v>64</v>
      </c>
      <c r="D89" s="10">
        <v>10645</v>
      </c>
      <c r="E89" s="16" t="s">
        <v>73</v>
      </c>
      <c r="F89" s="10">
        <v>0</v>
      </c>
      <c r="G89" s="10">
        <f>D89-F89</f>
        <v>10645</v>
      </c>
    </row>
    <row r="90" spans="1:7" ht="47.25">
      <c r="A90" s="369"/>
      <c r="B90" s="369"/>
      <c r="C90" s="6" t="s">
        <v>69</v>
      </c>
      <c r="D90" s="10">
        <v>988.2</v>
      </c>
      <c r="E90" s="9" t="s">
        <v>13</v>
      </c>
      <c r="F90" s="10">
        <v>0</v>
      </c>
      <c r="G90" s="10">
        <f>D90-F90</f>
        <v>988.2</v>
      </c>
    </row>
    <row r="91" spans="1:7" ht="15.75">
      <c r="A91" s="369"/>
      <c r="B91" s="369"/>
      <c r="C91" s="5" t="s">
        <v>15</v>
      </c>
      <c r="D91" s="10">
        <v>1529.23</v>
      </c>
      <c r="E91" s="9" t="s">
        <v>16</v>
      </c>
      <c r="F91" s="10">
        <v>0</v>
      </c>
      <c r="G91" s="10">
        <f>D91-F91</f>
        <v>1529.23</v>
      </c>
    </row>
    <row r="92" spans="1:7" ht="15.75">
      <c r="A92" s="369"/>
      <c r="B92" s="19" t="s">
        <v>9</v>
      </c>
      <c r="C92" s="33"/>
      <c r="D92" s="57">
        <f>SUM(D89:D91)</f>
        <v>13162.43</v>
      </c>
      <c r="E92" s="20"/>
      <c r="F92" s="57">
        <f>SUM(F89:F91)</f>
        <v>0</v>
      </c>
      <c r="G92" s="57">
        <f>SUM(G89:G91)</f>
        <v>13162.43</v>
      </c>
    </row>
    <row r="93" spans="1:7" ht="47.25">
      <c r="A93" s="364">
        <v>18</v>
      </c>
      <c r="B93" s="364" t="s">
        <v>74</v>
      </c>
      <c r="C93" s="23" t="s">
        <v>75</v>
      </c>
      <c r="D93" s="58">
        <v>12000</v>
      </c>
      <c r="E93" s="24" t="s">
        <v>76</v>
      </c>
      <c r="F93" s="66"/>
      <c r="G93" s="80">
        <f>D93-F93</f>
        <v>12000</v>
      </c>
    </row>
    <row r="94" spans="1:7" ht="47.25">
      <c r="A94" s="364"/>
      <c r="B94" s="364"/>
      <c r="C94" s="23" t="s">
        <v>77</v>
      </c>
      <c r="D94" s="58">
        <v>21290</v>
      </c>
      <c r="E94" s="24" t="s">
        <v>78</v>
      </c>
      <c r="F94" s="66"/>
      <c r="G94" s="80">
        <f>D94-F94</f>
        <v>21290</v>
      </c>
    </row>
    <row r="95" spans="1:7" ht="63">
      <c r="A95" s="364"/>
      <c r="B95" s="364"/>
      <c r="C95" s="23" t="s">
        <v>79</v>
      </c>
      <c r="D95" s="58">
        <v>2505.6</v>
      </c>
      <c r="E95" s="21" t="s">
        <v>14</v>
      </c>
      <c r="F95" s="66"/>
      <c r="G95" s="80">
        <f>D95-F95</f>
        <v>2505.6</v>
      </c>
    </row>
    <row r="96" spans="1:7" ht="15.75">
      <c r="A96" s="364"/>
      <c r="B96" s="364"/>
      <c r="C96" s="23" t="s">
        <v>15</v>
      </c>
      <c r="D96" s="58">
        <v>3311.766399999992</v>
      </c>
      <c r="E96" s="25" t="s">
        <v>16</v>
      </c>
      <c r="F96" s="66"/>
      <c r="G96" s="66">
        <f>D96-F96</f>
        <v>3311.766399999992</v>
      </c>
    </row>
    <row r="97" spans="1:7" ht="15.75">
      <c r="A97" s="364"/>
      <c r="B97" s="19" t="s">
        <v>9</v>
      </c>
      <c r="C97" s="20"/>
      <c r="D97" s="56">
        <f>SUM(D93:D96)</f>
        <v>39107.36639999999</v>
      </c>
      <c r="E97" s="20"/>
      <c r="F97" s="57">
        <f>SUM(F93:F96)</f>
        <v>0</v>
      </c>
      <c r="G97" s="57">
        <f>SUM(G93:G96)</f>
        <v>39107.36639999999</v>
      </c>
    </row>
    <row r="98" spans="1:7" ht="47.25">
      <c r="A98" s="375">
        <v>19</v>
      </c>
      <c r="B98" s="375" t="s">
        <v>80</v>
      </c>
      <c r="C98" s="26" t="s">
        <v>75</v>
      </c>
      <c r="D98" s="59">
        <v>7200</v>
      </c>
      <c r="E98" s="27" t="s">
        <v>76</v>
      </c>
      <c r="F98" s="67"/>
      <c r="G98" s="88">
        <f>D98-F98</f>
        <v>7200</v>
      </c>
    </row>
    <row r="99" spans="1:7" ht="47.25">
      <c r="A99" s="375"/>
      <c r="B99" s="375"/>
      <c r="C99" s="26" t="s">
        <v>77</v>
      </c>
      <c r="D99" s="59">
        <v>20864.2</v>
      </c>
      <c r="E99" s="27" t="s">
        <v>78</v>
      </c>
      <c r="F99" s="67"/>
      <c r="G99" s="88">
        <f>D99-F99</f>
        <v>20864.2</v>
      </c>
    </row>
    <row r="100" spans="1:7" ht="47.25">
      <c r="A100" s="375"/>
      <c r="B100" s="375"/>
      <c r="C100" s="26" t="s">
        <v>81</v>
      </c>
      <c r="D100" s="59">
        <v>2579.4</v>
      </c>
      <c r="E100" s="28" t="s">
        <v>14</v>
      </c>
      <c r="F100" s="67"/>
      <c r="G100" s="88">
        <f>D100-F100</f>
        <v>2579.4</v>
      </c>
    </row>
    <row r="101" spans="1:7" ht="15.75">
      <c r="A101" s="375"/>
      <c r="B101" s="375"/>
      <c r="C101" s="26" t="s">
        <v>15</v>
      </c>
      <c r="D101" s="59">
        <v>4219.294802778879</v>
      </c>
      <c r="E101" s="29" t="s">
        <v>16</v>
      </c>
      <c r="F101" s="67"/>
      <c r="G101" s="67">
        <f>D101-F101</f>
        <v>4219.294802778879</v>
      </c>
    </row>
    <row r="102" spans="1:7" ht="15.75">
      <c r="A102" s="377"/>
      <c r="B102" s="94" t="s">
        <v>9</v>
      </c>
      <c r="C102" s="123"/>
      <c r="D102" s="124">
        <f>SUM(D98:D101)</f>
        <v>34862.89480277888</v>
      </c>
      <c r="E102" s="123"/>
      <c r="F102" s="125">
        <f>SUM(F98:F101)</f>
        <v>0</v>
      </c>
      <c r="G102" s="125">
        <f>SUM(G98:G101)</f>
        <v>34862.89480277888</v>
      </c>
    </row>
    <row r="103" spans="1:7" ht="15.75">
      <c r="A103" s="135"/>
      <c r="B103" s="114"/>
      <c r="C103" s="136"/>
      <c r="D103" s="137"/>
      <c r="E103" s="136"/>
      <c r="F103" s="138"/>
      <c r="G103" s="138"/>
    </row>
    <row r="104" spans="1:7" ht="15.75">
      <c r="A104" s="131"/>
      <c r="B104" s="101"/>
      <c r="C104" s="132"/>
      <c r="D104" s="133"/>
      <c r="E104" s="132"/>
      <c r="F104" s="134"/>
      <c r="G104" s="134"/>
    </row>
    <row r="105" spans="1:7" ht="15.75">
      <c r="A105" s="131"/>
      <c r="B105" s="101"/>
      <c r="C105" s="132"/>
      <c r="D105" s="133"/>
      <c r="E105" s="132"/>
      <c r="F105" s="134"/>
      <c r="G105" s="134"/>
    </row>
    <row r="106" spans="1:7" ht="15.75">
      <c r="A106" s="139"/>
      <c r="B106" s="119"/>
      <c r="C106" s="140"/>
      <c r="D106" s="141"/>
      <c r="E106" s="140"/>
      <c r="F106" s="142"/>
      <c r="G106" s="142"/>
    </row>
    <row r="107" spans="1:7" ht="15.75">
      <c r="A107" s="378">
        <v>20</v>
      </c>
      <c r="B107" s="378" t="s">
        <v>82</v>
      </c>
      <c r="C107" s="126" t="s">
        <v>83</v>
      </c>
      <c r="D107" s="127">
        <v>22000</v>
      </c>
      <c r="E107" s="128" t="s">
        <v>13</v>
      </c>
      <c r="F107" s="129">
        <v>18.82</v>
      </c>
      <c r="G107" s="130">
        <f>D107-F107</f>
        <v>21981.18</v>
      </c>
    </row>
    <row r="108" spans="1:7" ht="78.75">
      <c r="A108" s="375"/>
      <c r="B108" s="375"/>
      <c r="C108" s="26" t="s">
        <v>84</v>
      </c>
      <c r="D108" s="59">
        <v>16281</v>
      </c>
      <c r="E108" s="28" t="s">
        <v>14</v>
      </c>
      <c r="F108" s="67"/>
      <c r="G108" s="88">
        <f>D108-F108</f>
        <v>16281</v>
      </c>
    </row>
    <row r="109" spans="1:7" ht="15.75">
      <c r="A109" s="375"/>
      <c r="B109" s="375"/>
      <c r="C109" s="26" t="s">
        <v>15</v>
      </c>
      <c r="D109" s="59">
        <v>4708.599600000001</v>
      </c>
      <c r="E109" s="28" t="s">
        <v>14</v>
      </c>
      <c r="F109" s="67"/>
      <c r="G109" s="88">
        <f>D109-F109</f>
        <v>4708.599600000001</v>
      </c>
    </row>
    <row r="110" spans="1:7" ht="15.75">
      <c r="A110" s="375"/>
      <c r="B110" s="19" t="s">
        <v>9</v>
      </c>
      <c r="C110" s="20"/>
      <c r="D110" s="60">
        <f>SUM(D107:D109)</f>
        <v>42989.5996</v>
      </c>
      <c r="E110" s="20"/>
      <c r="F110" s="57">
        <f>SUM(F107:F109)</f>
        <v>18.82</v>
      </c>
      <c r="G110" s="57">
        <f>SUM(G107:G109)</f>
        <v>42970.7796</v>
      </c>
    </row>
    <row r="111" spans="1:7" ht="47.25">
      <c r="A111" s="375">
        <v>21</v>
      </c>
      <c r="B111" s="375" t="s">
        <v>85</v>
      </c>
      <c r="C111" s="26" t="s">
        <v>75</v>
      </c>
      <c r="D111" s="59">
        <v>36000</v>
      </c>
      <c r="E111" s="27" t="s">
        <v>76</v>
      </c>
      <c r="F111" s="67"/>
      <c r="G111" s="88">
        <f>D111-F111</f>
        <v>36000</v>
      </c>
    </row>
    <row r="112" spans="1:7" ht="47.25">
      <c r="A112" s="375"/>
      <c r="B112" s="375"/>
      <c r="C112" s="26" t="s">
        <v>77</v>
      </c>
      <c r="D112" s="59">
        <v>38322</v>
      </c>
      <c r="E112" s="27" t="s">
        <v>78</v>
      </c>
      <c r="F112" s="67"/>
      <c r="G112" s="88">
        <f>D112-F112</f>
        <v>38322</v>
      </c>
    </row>
    <row r="113" spans="1:7" ht="63">
      <c r="A113" s="375"/>
      <c r="B113" s="375"/>
      <c r="C113" s="26" t="s">
        <v>86</v>
      </c>
      <c r="D113" s="59">
        <v>3445.2</v>
      </c>
      <c r="E113" s="28" t="s">
        <v>14</v>
      </c>
      <c r="F113" s="67"/>
      <c r="G113" s="88">
        <f>D113-F113</f>
        <v>3445.2</v>
      </c>
    </row>
    <row r="114" spans="1:7" ht="15.75">
      <c r="A114" s="375"/>
      <c r="B114" s="375"/>
      <c r="C114" s="26" t="s">
        <v>15</v>
      </c>
      <c r="D114" s="59">
        <v>2256.3120000000026</v>
      </c>
      <c r="E114" s="29" t="s">
        <v>16</v>
      </c>
      <c r="F114" s="67"/>
      <c r="G114" s="67">
        <f>D114-F114</f>
        <v>2256.3120000000026</v>
      </c>
    </row>
    <row r="115" spans="1:7" ht="15.75">
      <c r="A115" s="375"/>
      <c r="B115" s="19" t="s">
        <v>9</v>
      </c>
      <c r="C115" s="20"/>
      <c r="D115" s="60">
        <f>SUM(D111:D114)</f>
        <v>80023.512</v>
      </c>
      <c r="E115" s="20"/>
      <c r="F115" s="57">
        <f>SUM(F111:F114)</f>
        <v>0</v>
      </c>
      <c r="G115" s="57">
        <f>SUM(G111:G114)</f>
        <v>80023.512</v>
      </c>
    </row>
    <row r="116" spans="1:7" ht="47.25">
      <c r="A116" s="375">
        <v>22</v>
      </c>
      <c r="B116" s="375" t="s">
        <v>87</v>
      </c>
      <c r="C116" s="26" t="s">
        <v>77</v>
      </c>
      <c r="D116" s="59">
        <v>29806</v>
      </c>
      <c r="E116" s="27" t="s">
        <v>78</v>
      </c>
      <c r="F116" s="67"/>
      <c r="G116" s="88">
        <f>D116-F116</f>
        <v>29806</v>
      </c>
    </row>
    <row r="117" spans="1:7" ht="63">
      <c r="A117" s="375"/>
      <c r="B117" s="375"/>
      <c r="C117" s="26" t="s">
        <v>88</v>
      </c>
      <c r="D117" s="59">
        <v>4161.38</v>
      </c>
      <c r="E117" s="28" t="s">
        <v>13</v>
      </c>
      <c r="F117" s="68">
        <v>1974.38</v>
      </c>
      <c r="G117" s="88">
        <f>D117-F117</f>
        <v>2187</v>
      </c>
    </row>
    <row r="118" spans="1:7" ht="15.75">
      <c r="A118" s="375"/>
      <c r="B118" s="375"/>
      <c r="C118" s="26" t="s">
        <v>15</v>
      </c>
      <c r="D118" s="59">
        <v>7442.69</v>
      </c>
      <c r="E118" s="29" t="s">
        <v>16</v>
      </c>
      <c r="F118" s="67"/>
      <c r="G118" s="67">
        <f>D118-F118</f>
        <v>7442.69</v>
      </c>
    </row>
    <row r="119" spans="1:7" ht="15.75">
      <c r="A119" s="375"/>
      <c r="B119" s="19" t="s">
        <v>9</v>
      </c>
      <c r="C119" s="20"/>
      <c r="D119" s="60">
        <f>SUM(D116:D118)</f>
        <v>41410.07</v>
      </c>
      <c r="E119" s="20"/>
      <c r="F119" s="69">
        <f>SUM(F116:F118)</f>
        <v>1974.38</v>
      </c>
      <c r="G119" s="57">
        <f>SUM(G116:G118)</f>
        <v>39435.69</v>
      </c>
    </row>
    <row r="120" spans="1:7" ht="15.75">
      <c r="A120" s="375">
        <v>23</v>
      </c>
      <c r="B120" s="375" t="s">
        <v>89</v>
      </c>
      <c r="C120" s="26" t="s">
        <v>83</v>
      </c>
      <c r="D120" s="59">
        <v>35200</v>
      </c>
      <c r="E120" s="28" t="s">
        <v>13</v>
      </c>
      <c r="F120" s="67">
        <f>6.14+2.79</f>
        <v>8.93</v>
      </c>
      <c r="G120" s="88">
        <f>D120-F120</f>
        <v>35191.07</v>
      </c>
    </row>
    <row r="121" spans="1:7" ht="31.5">
      <c r="A121" s="375"/>
      <c r="B121" s="375"/>
      <c r="C121" s="26" t="s">
        <v>90</v>
      </c>
      <c r="D121" s="59">
        <v>6000</v>
      </c>
      <c r="E121" s="28" t="s">
        <v>13</v>
      </c>
      <c r="F121" s="70">
        <f>474.2+245.13</f>
        <v>719.3299999999999</v>
      </c>
      <c r="G121" s="89">
        <f>D121-F121</f>
        <v>5280.67</v>
      </c>
    </row>
    <row r="122" spans="1:7" ht="63">
      <c r="A122" s="376"/>
      <c r="B122" s="376"/>
      <c r="C122" s="30" t="s">
        <v>91</v>
      </c>
      <c r="D122" s="61">
        <v>3610.8</v>
      </c>
      <c r="E122" s="31" t="s">
        <v>14</v>
      </c>
      <c r="F122" s="71"/>
      <c r="G122" s="89">
        <f>D122-F122</f>
        <v>3610.8</v>
      </c>
    </row>
    <row r="123" spans="1:7" ht="15.75">
      <c r="A123" s="376"/>
      <c r="B123" s="376"/>
      <c r="C123" s="30" t="s">
        <v>15</v>
      </c>
      <c r="D123" s="61">
        <v>9054.94</v>
      </c>
      <c r="E123" s="32" t="s">
        <v>16</v>
      </c>
      <c r="F123" s="71"/>
      <c r="G123" s="89">
        <f>D123-F123</f>
        <v>9054.94</v>
      </c>
    </row>
    <row r="124" spans="1:7" ht="15.75">
      <c r="A124" s="376"/>
      <c r="B124" s="19" t="s">
        <v>9</v>
      </c>
      <c r="C124" s="20"/>
      <c r="D124" s="60">
        <f>SUM(D120:D123)</f>
        <v>53865.740000000005</v>
      </c>
      <c r="E124" s="20"/>
      <c r="F124" s="57">
        <f>SUM(F120:F123)</f>
        <v>728.2599999999999</v>
      </c>
      <c r="G124" s="57">
        <f>SUM(G120:G123)</f>
        <v>53137.48</v>
      </c>
    </row>
    <row r="125" spans="1:7" ht="47.25">
      <c r="A125" s="375">
        <v>24</v>
      </c>
      <c r="B125" s="375" t="s">
        <v>92</v>
      </c>
      <c r="C125" s="26" t="s">
        <v>77</v>
      </c>
      <c r="D125" s="59">
        <v>5535.4</v>
      </c>
      <c r="E125" s="27" t="s">
        <v>78</v>
      </c>
      <c r="F125" s="67"/>
      <c r="G125" s="88">
        <f>D125-F125</f>
        <v>5535.4</v>
      </c>
    </row>
    <row r="126" spans="1:7" ht="63">
      <c r="A126" s="375"/>
      <c r="B126" s="375"/>
      <c r="C126" s="26" t="s">
        <v>93</v>
      </c>
      <c r="D126" s="59">
        <v>2815.2</v>
      </c>
      <c r="E126" s="28" t="s">
        <v>14</v>
      </c>
      <c r="F126" s="67"/>
      <c r="G126" s="88">
        <f>D126-F126</f>
        <v>2815.2</v>
      </c>
    </row>
    <row r="127" spans="1:7" ht="15.75">
      <c r="A127" s="375"/>
      <c r="B127" s="375"/>
      <c r="C127" s="26" t="s">
        <v>15</v>
      </c>
      <c r="D127" s="59">
        <v>4081.11</v>
      </c>
      <c r="E127" s="29" t="s">
        <v>16</v>
      </c>
      <c r="F127" s="67"/>
      <c r="G127" s="67">
        <f>D127-F127</f>
        <v>4081.11</v>
      </c>
    </row>
    <row r="128" spans="1:7" ht="15.75">
      <c r="A128" s="375"/>
      <c r="B128" s="19" t="s">
        <v>9</v>
      </c>
      <c r="C128" s="20"/>
      <c r="D128" s="60">
        <f>SUM(D125:D127)</f>
        <v>12431.71</v>
      </c>
      <c r="E128" s="20"/>
      <c r="F128" s="57">
        <f>SUM(F125:F127)</f>
        <v>0</v>
      </c>
      <c r="G128" s="57">
        <f>SUM(G125:G126)</f>
        <v>8350.599999999999</v>
      </c>
    </row>
    <row r="129" spans="1:7" ht="31.5">
      <c r="A129" s="375">
        <v>25</v>
      </c>
      <c r="B129" s="365" t="s">
        <v>94</v>
      </c>
      <c r="C129" s="30" t="s">
        <v>95</v>
      </c>
      <c r="D129" s="61">
        <v>800.001792</v>
      </c>
      <c r="E129" s="31" t="s">
        <v>14</v>
      </c>
      <c r="F129" s="71"/>
      <c r="G129" s="89">
        <f>D129-F129</f>
        <v>800.001792</v>
      </c>
    </row>
    <row r="130" spans="1:7" ht="63">
      <c r="A130" s="376"/>
      <c r="B130" s="365"/>
      <c r="C130" s="30" t="s">
        <v>96</v>
      </c>
      <c r="D130" s="61">
        <v>6359.1</v>
      </c>
      <c r="E130" s="31" t="s">
        <v>13</v>
      </c>
      <c r="F130" s="72">
        <v>2039.38</v>
      </c>
      <c r="G130" s="89">
        <f>D130-F130</f>
        <v>4319.72</v>
      </c>
    </row>
    <row r="131" spans="1:7" ht="31.5">
      <c r="A131" s="376"/>
      <c r="B131" s="365"/>
      <c r="C131" s="30" t="s">
        <v>97</v>
      </c>
      <c r="D131" s="61">
        <v>1999.99998</v>
      </c>
      <c r="E131" s="31" t="s">
        <v>14</v>
      </c>
      <c r="F131" s="71"/>
      <c r="G131" s="89">
        <f>D131-F131</f>
        <v>1999.99998</v>
      </c>
    </row>
    <row r="132" spans="1:7" ht="15.75">
      <c r="A132" s="376"/>
      <c r="B132" s="365"/>
      <c r="C132" s="30" t="s">
        <v>15</v>
      </c>
      <c r="D132" s="61">
        <v>92587.221828</v>
      </c>
      <c r="E132" s="32" t="s">
        <v>16</v>
      </c>
      <c r="F132" s="71"/>
      <c r="G132" s="89">
        <f>D132-F132</f>
        <v>92587.221828</v>
      </c>
    </row>
    <row r="133" spans="1:7" ht="15.75">
      <c r="A133" s="376"/>
      <c r="B133" s="19" t="s">
        <v>9</v>
      </c>
      <c r="C133" s="20"/>
      <c r="D133" s="60">
        <f>SUM(D129:D132)</f>
        <v>101746.32359999999</v>
      </c>
      <c r="E133" s="20"/>
      <c r="F133" s="73">
        <f>SUM(F129:F132)</f>
        <v>2039.38</v>
      </c>
      <c r="G133" s="57">
        <f>SUM(G129:G132)</f>
        <v>99706.9436</v>
      </c>
    </row>
    <row r="134" spans="1:7" ht="47.25">
      <c r="A134" s="375">
        <v>26</v>
      </c>
      <c r="B134" s="375" t="s">
        <v>98</v>
      </c>
      <c r="C134" s="6" t="s">
        <v>99</v>
      </c>
      <c r="D134" s="61">
        <v>225098.0850075</v>
      </c>
      <c r="E134" s="31" t="s">
        <v>13</v>
      </c>
      <c r="F134" s="74">
        <f>33.37+523.24+599.84+286.74</f>
        <v>1443.19</v>
      </c>
      <c r="G134" s="89">
        <f>D134-F134</f>
        <v>223654.8950075</v>
      </c>
    </row>
    <row r="135" spans="1:7" ht="31.5">
      <c r="A135" s="376"/>
      <c r="B135" s="376"/>
      <c r="C135" s="30" t="s">
        <v>97</v>
      </c>
      <c r="D135" s="61">
        <v>1999.99998</v>
      </c>
      <c r="E135" s="31" t="s">
        <v>14</v>
      </c>
      <c r="F135" s="75"/>
      <c r="G135" s="89">
        <f>D135-F135</f>
        <v>1999.99998</v>
      </c>
    </row>
    <row r="136" spans="1:7" ht="63">
      <c r="A136" s="376"/>
      <c r="B136" s="376"/>
      <c r="C136" s="30" t="s">
        <v>100</v>
      </c>
      <c r="D136" s="61">
        <v>5299.2</v>
      </c>
      <c r="E136" s="31" t="s">
        <v>14</v>
      </c>
      <c r="F136" s="76"/>
      <c r="G136" s="89">
        <f>D136-F136</f>
        <v>5299.2</v>
      </c>
    </row>
    <row r="137" spans="1:7" ht="15.75">
      <c r="A137" s="376"/>
      <c r="B137" s="376"/>
      <c r="C137" s="30" t="s">
        <v>15</v>
      </c>
      <c r="D137" s="61">
        <v>1500</v>
      </c>
      <c r="E137" s="32" t="s">
        <v>16</v>
      </c>
      <c r="F137" s="76"/>
      <c r="G137" s="89">
        <f>D137-F137</f>
        <v>1500</v>
      </c>
    </row>
    <row r="138" spans="1:7" ht="15.75">
      <c r="A138" s="376"/>
      <c r="B138" s="19" t="s">
        <v>9</v>
      </c>
      <c r="C138" s="20"/>
      <c r="D138" s="60">
        <f>SUM(D134:D137)</f>
        <v>233897.2849875</v>
      </c>
      <c r="E138" s="20"/>
      <c r="F138" s="57">
        <f>SUM(F134:F137)</f>
        <v>1443.19</v>
      </c>
      <c r="G138" s="57">
        <f>SUM(G134:G137)</f>
        <v>232454.0949875</v>
      </c>
    </row>
    <row r="139" spans="1:7" ht="15.75">
      <c r="A139" s="375">
        <v>27</v>
      </c>
      <c r="B139" s="375" t="s">
        <v>101</v>
      </c>
      <c r="C139" s="26" t="s">
        <v>83</v>
      </c>
      <c r="D139" s="59">
        <v>22000</v>
      </c>
      <c r="E139" s="28" t="s">
        <v>13</v>
      </c>
      <c r="F139" s="77">
        <v>8.02</v>
      </c>
      <c r="G139" s="89">
        <f>D139-F139</f>
        <v>21991.98</v>
      </c>
    </row>
    <row r="140" spans="1:7" ht="15.75">
      <c r="A140" s="376"/>
      <c r="B140" s="376"/>
      <c r="C140" s="30" t="s">
        <v>15</v>
      </c>
      <c r="D140" s="61">
        <v>13059.46</v>
      </c>
      <c r="E140" s="32" t="s">
        <v>16</v>
      </c>
      <c r="F140" s="71"/>
      <c r="G140" s="89">
        <f>D140-F140</f>
        <v>13059.46</v>
      </c>
    </row>
    <row r="141" spans="1:7" ht="15.75">
      <c r="A141" s="379"/>
      <c r="B141" s="94" t="s">
        <v>9</v>
      </c>
      <c r="C141" s="123"/>
      <c r="D141" s="124">
        <f>SUM(D139:D140)</f>
        <v>35059.46</v>
      </c>
      <c r="E141" s="123"/>
      <c r="F141" s="125">
        <f>SUM(F139:F140)</f>
        <v>8.02</v>
      </c>
      <c r="G141" s="125">
        <f>SUM(G139:G140)</f>
        <v>35051.44</v>
      </c>
    </row>
    <row r="142" spans="1:7" ht="15.75">
      <c r="A142" s="148"/>
      <c r="B142" s="114"/>
      <c r="C142" s="136"/>
      <c r="D142" s="137"/>
      <c r="E142" s="136"/>
      <c r="F142" s="138"/>
      <c r="G142" s="138"/>
    </row>
    <row r="143" spans="1:7" ht="15.75">
      <c r="A143" s="149"/>
      <c r="B143" s="119"/>
      <c r="C143" s="140"/>
      <c r="D143" s="141"/>
      <c r="E143" s="140"/>
      <c r="F143" s="142"/>
      <c r="G143" s="142"/>
    </row>
    <row r="144" spans="1:7" ht="15.75">
      <c r="A144" s="378">
        <v>28</v>
      </c>
      <c r="B144" s="367" t="s">
        <v>102</v>
      </c>
      <c r="C144" s="143" t="s">
        <v>83</v>
      </c>
      <c r="D144" s="144">
        <v>51000</v>
      </c>
      <c r="E144" s="145" t="s">
        <v>13</v>
      </c>
      <c r="F144" s="146">
        <v>19.25</v>
      </c>
      <c r="G144" s="147">
        <f>D144-F144</f>
        <v>50980.75</v>
      </c>
    </row>
    <row r="145" spans="1:7" ht="31.5">
      <c r="A145" s="376"/>
      <c r="B145" s="365"/>
      <c r="C145" s="30" t="s">
        <v>103</v>
      </c>
      <c r="D145" s="61">
        <v>800.001792</v>
      </c>
      <c r="E145" s="31" t="s">
        <v>14</v>
      </c>
      <c r="F145" s="71"/>
      <c r="G145" s="89">
        <f>D145-F145</f>
        <v>800.001792</v>
      </c>
    </row>
    <row r="146" spans="1:7" ht="15.75">
      <c r="A146" s="376"/>
      <c r="B146" s="365"/>
      <c r="C146" s="30" t="s">
        <v>15</v>
      </c>
      <c r="D146" s="61">
        <v>7383.759807999998</v>
      </c>
      <c r="E146" s="32" t="s">
        <v>16</v>
      </c>
      <c r="F146" s="71"/>
      <c r="G146" s="71">
        <f>D146-F146</f>
        <v>7383.759807999998</v>
      </c>
    </row>
    <row r="147" spans="1:7" ht="15.75">
      <c r="A147" s="376"/>
      <c r="B147" s="19" t="s">
        <v>9</v>
      </c>
      <c r="C147" s="20"/>
      <c r="D147" s="60">
        <f>SUM(D144:D146)</f>
        <v>59183.7616</v>
      </c>
      <c r="E147" s="20"/>
      <c r="F147" s="57">
        <f>SUM(F144:F146)</f>
        <v>19.25</v>
      </c>
      <c r="G147" s="57">
        <f>SUM(G144:G146)</f>
        <v>59164.5116</v>
      </c>
    </row>
    <row r="148" spans="1:7" ht="65.25" customHeight="1">
      <c r="A148" s="375">
        <v>29</v>
      </c>
      <c r="B148" s="365" t="s">
        <v>104</v>
      </c>
      <c r="C148" s="6" t="s">
        <v>105</v>
      </c>
      <c r="D148" s="61">
        <v>27192.84</v>
      </c>
      <c r="E148" s="31" t="s">
        <v>14</v>
      </c>
      <c r="F148" s="71"/>
      <c r="G148" s="89">
        <f>D148-F148</f>
        <v>27192.84</v>
      </c>
    </row>
    <row r="149" spans="1:7" ht="15.75">
      <c r="A149" s="376"/>
      <c r="B149" s="365"/>
      <c r="C149" s="30" t="s">
        <v>106</v>
      </c>
      <c r="D149" s="62">
        <v>1000</v>
      </c>
      <c r="E149" s="32" t="s">
        <v>16</v>
      </c>
      <c r="F149" s="78"/>
      <c r="G149" s="89">
        <f>D149-F149</f>
        <v>1000</v>
      </c>
    </row>
    <row r="150" spans="1:7" ht="31.5">
      <c r="A150" s="376"/>
      <c r="B150" s="365"/>
      <c r="C150" s="30" t="s">
        <v>107</v>
      </c>
      <c r="D150" s="62">
        <v>8523.9</v>
      </c>
      <c r="E150" s="31" t="s">
        <v>14</v>
      </c>
      <c r="F150" s="71"/>
      <c r="G150" s="89">
        <f>D150-F150</f>
        <v>8523.9</v>
      </c>
    </row>
    <row r="151" spans="1:7" ht="15.75">
      <c r="A151" s="376"/>
      <c r="B151" s="365"/>
      <c r="C151" s="30" t="s">
        <v>15</v>
      </c>
      <c r="D151" s="62">
        <v>3372.4383314790475</v>
      </c>
      <c r="E151" s="32" t="s">
        <v>16</v>
      </c>
      <c r="F151" s="71"/>
      <c r="G151" s="89">
        <f>D151-F151</f>
        <v>3372.4383314790475</v>
      </c>
    </row>
    <row r="152" spans="1:7" ht="15.75">
      <c r="A152" s="376"/>
      <c r="B152" s="19" t="s">
        <v>9</v>
      </c>
      <c r="C152" s="20"/>
      <c r="D152" s="60">
        <f>SUM(D148:D151)</f>
        <v>40089.178331479045</v>
      </c>
      <c r="E152" s="20"/>
      <c r="F152" s="57">
        <f>SUM(F148:F151)</f>
        <v>0</v>
      </c>
      <c r="G152" s="57">
        <f>SUM(G148:G151)</f>
        <v>40089.178331479045</v>
      </c>
    </row>
    <row r="153" spans="1:7" ht="31.5">
      <c r="A153" s="375">
        <v>30</v>
      </c>
      <c r="B153" s="365" t="s">
        <v>108</v>
      </c>
      <c r="C153" s="30" t="s">
        <v>103</v>
      </c>
      <c r="D153" s="61">
        <v>800.001792</v>
      </c>
      <c r="E153" s="31" t="s">
        <v>14</v>
      </c>
      <c r="F153" s="71"/>
      <c r="G153" s="89">
        <f>D153-F153</f>
        <v>800.001792</v>
      </c>
    </row>
    <row r="154" spans="1:7" ht="78.75">
      <c r="A154" s="376"/>
      <c r="B154" s="365"/>
      <c r="C154" s="30" t="s">
        <v>109</v>
      </c>
      <c r="D154" s="61">
        <v>12738.6</v>
      </c>
      <c r="E154" s="31" t="s">
        <v>14</v>
      </c>
      <c r="F154" s="71"/>
      <c r="G154" s="89">
        <f>D154-F154</f>
        <v>12738.6</v>
      </c>
    </row>
    <row r="155" spans="1:7" ht="15.75">
      <c r="A155" s="376"/>
      <c r="B155" s="365"/>
      <c r="C155" s="30" t="s">
        <v>15</v>
      </c>
      <c r="D155" s="61">
        <v>10227.718208000002</v>
      </c>
      <c r="E155" s="32" t="s">
        <v>16</v>
      </c>
      <c r="F155" s="71"/>
      <c r="G155" s="71">
        <f>D155-F155</f>
        <v>10227.718208000002</v>
      </c>
    </row>
    <row r="156" spans="1:7" ht="15.75">
      <c r="A156" s="376"/>
      <c r="B156" s="19" t="s">
        <v>9</v>
      </c>
      <c r="C156" s="20"/>
      <c r="D156" s="60">
        <f>SUM(D153:D155)</f>
        <v>23766.320000000003</v>
      </c>
      <c r="E156" s="20"/>
      <c r="F156" s="57">
        <f>SUM(F153:F155)</f>
        <v>0</v>
      </c>
      <c r="G156" s="57">
        <f>SUM(G153:G155)</f>
        <v>23766.320000000003</v>
      </c>
    </row>
    <row r="157" spans="1:7" ht="31.5">
      <c r="A157" s="375">
        <v>31</v>
      </c>
      <c r="B157" s="365" t="s">
        <v>110</v>
      </c>
      <c r="C157" s="30" t="s">
        <v>103</v>
      </c>
      <c r="D157" s="61">
        <v>800.001792</v>
      </c>
      <c r="E157" s="31" t="s">
        <v>14</v>
      </c>
      <c r="F157" s="71"/>
      <c r="G157" s="89">
        <f>D157-F157</f>
        <v>800.001792</v>
      </c>
    </row>
    <row r="158" spans="1:7" ht="63">
      <c r="A158" s="376"/>
      <c r="B158" s="365"/>
      <c r="C158" s="30" t="s">
        <v>111</v>
      </c>
      <c r="D158" s="61">
        <v>6374.89</v>
      </c>
      <c r="E158" s="31" t="s">
        <v>14</v>
      </c>
      <c r="F158" s="71"/>
      <c r="G158" s="89">
        <f>D158-F158</f>
        <v>6374.89</v>
      </c>
    </row>
    <row r="159" spans="1:7" ht="15.75">
      <c r="A159" s="376"/>
      <c r="B159" s="365"/>
      <c r="C159" s="30" t="s">
        <v>15</v>
      </c>
      <c r="D159" s="61">
        <v>59864.906608000005</v>
      </c>
      <c r="E159" s="32" t="s">
        <v>16</v>
      </c>
      <c r="F159" s="71">
        <v>63.34</v>
      </c>
      <c r="G159" s="71">
        <f>D159-F159</f>
        <v>59801.56660800001</v>
      </c>
    </row>
    <row r="160" spans="1:7" ht="15.75">
      <c r="A160" s="376"/>
      <c r="B160" s="19" t="s">
        <v>9</v>
      </c>
      <c r="C160" s="20"/>
      <c r="D160" s="60">
        <f>SUM(D157:D159)</f>
        <v>67039.7984</v>
      </c>
      <c r="E160" s="20"/>
      <c r="F160" s="57">
        <f>SUM(F157:F159)</f>
        <v>63.34</v>
      </c>
      <c r="G160" s="57">
        <f>SUM(G157:G159)</f>
        <v>66976.4584</v>
      </c>
    </row>
    <row r="161" spans="1:7" ht="31.5">
      <c r="A161" s="375">
        <v>32</v>
      </c>
      <c r="B161" s="365" t="s">
        <v>112</v>
      </c>
      <c r="C161" s="6" t="s">
        <v>113</v>
      </c>
      <c r="D161" s="61">
        <v>3000</v>
      </c>
      <c r="E161" s="31" t="s">
        <v>13</v>
      </c>
      <c r="F161" s="77">
        <f>589.68+112.32</f>
        <v>702</v>
      </c>
      <c r="G161" s="89">
        <f>D161-F161</f>
        <v>2298</v>
      </c>
    </row>
    <row r="162" spans="1:7" ht="31.5">
      <c r="A162" s="376"/>
      <c r="B162" s="365"/>
      <c r="C162" s="30" t="s">
        <v>103</v>
      </c>
      <c r="D162" s="62">
        <v>1600.003584</v>
      </c>
      <c r="E162" s="31" t="s">
        <v>14</v>
      </c>
      <c r="F162" s="78"/>
      <c r="G162" s="89">
        <f>D162-F162</f>
        <v>1600.003584</v>
      </c>
    </row>
    <row r="163" spans="1:7" ht="31.5">
      <c r="A163" s="376"/>
      <c r="B163" s="365"/>
      <c r="C163" s="30" t="s">
        <v>114</v>
      </c>
      <c r="D163" s="62">
        <v>27400</v>
      </c>
      <c r="E163" s="31" t="s">
        <v>13</v>
      </c>
      <c r="F163" s="77">
        <v>98.4</v>
      </c>
      <c r="G163" s="89">
        <f>D163-F163</f>
        <v>27301.6</v>
      </c>
    </row>
    <row r="164" spans="1:7" ht="63">
      <c r="A164" s="376"/>
      <c r="B164" s="365"/>
      <c r="C164" s="30" t="s">
        <v>115</v>
      </c>
      <c r="D164" s="62">
        <v>10103.96</v>
      </c>
      <c r="E164" s="31" t="s">
        <v>14</v>
      </c>
      <c r="F164" s="71"/>
      <c r="G164" s="89">
        <f>D164-F164</f>
        <v>10103.96</v>
      </c>
    </row>
    <row r="165" spans="1:7" ht="15.75">
      <c r="A165" s="376"/>
      <c r="B165" s="365"/>
      <c r="C165" s="30" t="s">
        <v>15</v>
      </c>
      <c r="D165" s="62">
        <v>106.03641600000083</v>
      </c>
      <c r="E165" s="32" t="s">
        <v>16</v>
      </c>
      <c r="F165" s="79">
        <v>63.33</v>
      </c>
      <c r="G165" s="89">
        <f>D165-F165</f>
        <v>42.70641600000083</v>
      </c>
    </row>
    <row r="166" spans="1:7" ht="15.75">
      <c r="A166" s="376"/>
      <c r="B166" s="19" t="s">
        <v>9</v>
      </c>
      <c r="C166" s="20"/>
      <c r="D166" s="60">
        <f>SUM(D161:D165)</f>
        <v>42210</v>
      </c>
      <c r="E166" s="20"/>
      <c r="F166" s="57">
        <f>SUM(F161:F165)</f>
        <v>863.73</v>
      </c>
      <c r="G166" s="57">
        <f>SUM(G161:G165)</f>
        <v>41346.27</v>
      </c>
    </row>
    <row r="167" spans="1:7" ht="31.5">
      <c r="A167" s="375">
        <v>33</v>
      </c>
      <c r="B167" s="365" t="s">
        <v>116</v>
      </c>
      <c r="C167" s="30" t="s">
        <v>103</v>
      </c>
      <c r="D167" s="61">
        <v>800.001792</v>
      </c>
      <c r="E167" s="31" t="s">
        <v>14</v>
      </c>
      <c r="F167" s="71"/>
      <c r="G167" s="89">
        <f>D167-F167</f>
        <v>800.001792</v>
      </c>
    </row>
    <row r="168" spans="1:7" ht="63">
      <c r="A168" s="376"/>
      <c r="B168" s="365"/>
      <c r="C168" s="30" t="s">
        <v>117</v>
      </c>
      <c r="D168" s="61">
        <v>12505.25</v>
      </c>
      <c r="E168" s="31" t="s">
        <v>14</v>
      </c>
      <c r="F168" s="71"/>
      <c r="G168" s="89">
        <f>D168-F168</f>
        <v>12505.25</v>
      </c>
    </row>
    <row r="169" spans="1:7" ht="15.75">
      <c r="A169" s="376"/>
      <c r="B169" s="365"/>
      <c r="C169" s="30" t="s">
        <v>15</v>
      </c>
      <c r="D169" s="61">
        <v>69984.488208</v>
      </c>
      <c r="E169" s="32" t="s">
        <v>16</v>
      </c>
      <c r="F169" s="71">
        <v>67.63</v>
      </c>
      <c r="G169" s="71">
        <f>D169-F169</f>
        <v>69916.85820799999</v>
      </c>
    </row>
    <row r="170" spans="1:7" ht="15.75">
      <c r="A170" s="376"/>
      <c r="B170" s="19" t="s">
        <v>9</v>
      </c>
      <c r="C170" s="20"/>
      <c r="D170" s="60">
        <f>SUM(D167:D169)</f>
        <v>83289.73999999999</v>
      </c>
      <c r="E170" s="20"/>
      <c r="F170" s="57">
        <f>SUM(F167:F169)</f>
        <v>67.63</v>
      </c>
      <c r="G170" s="57">
        <f>SUM(G167:G169)</f>
        <v>83222.10999999999</v>
      </c>
    </row>
    <row r="171" spans="1:7" ht="31.5">
      <c r="A171" s="375">
        <v>34</v>
      </c>
      <c r="B171" s="365" t="s">
        <v>118</v>
      </c>
      <c r="C171" s="6" t="s">
        <v>119</v>
      </c>
      <c r="D171" s="61">
        <v>800.001792</v>
      </c>
      <c r="E171" s="31" t="s">
        <v>14</v>
      </c>
      <c r="F171" s="71"/>
      <c r="G171" s="89">
        <f>D171-F171</f>
        <v>800.001792</v>
      </c>
    </row>
    <row r="172" spans="1:7" ht="15.75">
      <c r="A172" s="376"/>
      <c r="B172" s="365"/>
      <c r="C172" s="30" t="s">
        <v>120</v>
      </c>
      <c r="D172" s="62">
        <v>24000</v>
      </c>
      <c r="E172" s="31" t="s">
        <v>13</v>
      </c>
      <c r="F172" s="78">
        <v>23.98</v>
      </c>
      <c r="G172" s="89">
        <f>D172-F172</f>
        <v>23976.02</v>
      </c>
    </row>
    <row r="173" spans="1:7" ht="63">
      <c r="A173" s="376"/>
      <c r="B173" s="365"/>
      <c r="C173" s="30" t="s">
        <v>268</v>
      </c>
      <c r="D173" s="62">
        <v>5457.7</v>
      </c>
      <c r="E173" s="31" t="s">
        <v>14</v>
      </c>
      <c r="F173" s="71"/>
      <c r="G173" s="89">
        <f>D173-F173</f>
        <v>5457.7</v>
      </c>
    </row>
    <row r="174" spans="1:7" ht="15.75">
      <c r="A174" s="376"/>
      <c r="B174" s="365"/>
      <c r="C174" s="30" t="s">
        <v>15</v>
      </c>
      <c r="D174" s="62">
        <v>114435.98411888082</v>
      </c>
      <c r="E174" s="32" t="s">
        <v>16</v>
      </c>
      <c r="F174" s="71"/>
      <c r="G174" s="89">
        <f>D174-F174</f>
        <v>114435.98411888082</v>
      </c>
    </row>
    <row r="175" spans="1:7" ht="15.75">
      <c r="A175" s="376"/>
      <c r="B175" s="19" t="s">
        <v>9</v>
      </c>
      <c r="C175" s="20"/>
      <c r="D175" s="60">
        <f>SUM(D171:D174)</f>
        <v>144693.68591088083</v>
      </c>
      <c r="E175" s="20"/>
      <c r="F175" s="57">
        <f>SUM(F171:F174)</f>
        <v>23.98</v>
      </c>
      <c r="G175" s="57">
        <f>SUM(G171:G174)</f>
        <v>144669.70591088082</v>
      </c>
    </row>
    <row r="176" spans="1:7" ht="47.25">
      <c r="A176" s="375">
        <v>35</v>
      </c>
      <c r="B176" s="375" t="s">
        <v>121</v>
      </c>
      <c r="C176" s="6" t="s">
        <v>99</v>
      </c>
      <c r="D176" s="61">
        <v>221353.80750000002</v>
      </c>
      <c r="E176" s="31" t="s">
        <v>13</v>
      </c>
      <c r="F176" s="72">
        <f>519.83+595.92</f>
        <v>1115.75</v>
      </c>
      <c r="G176" s="89">
        <f>D176-F176</f>
        <v>220238.05750000002</v>
      </c>
    </row>
    <row r="177" spans="1:7" ht="47.25">
      <c r="A177" s="376"/>
      <c r="B177" s="376"/>
      <c r="C177" s="30" t="s">
        <v>122</v>
      </c>
      <c r="D177" s="61">
        <v>2649.6</v>
      </c>
      <c r="E177" s="31" t="s">
        <v>14</v>
      </c>
      <c r="F177" s="71"/>
      <c r="G177" s="89">
        <f>D177-F177</f>
        <v>2649.6</v>
      </c>
    </row>
    <row r="178" spans="1:7" ht="15.75">
      <c r="A178" s="376"/>
      <c r="B178" s="376"/>
      <c r="C178" s="30" t="s">
        <v>15</v>
      </c>
      <c r="D178" s="61">
        <v>1500</v>
      </c>
      <c r="E178" s="32" t="s">
        <v>16</v>
      </c>
      <c r="F178" s="71"/>
      <c r="G178" s="89">
        <f>D178-F178</f>
        <v>1500</v>
      </c>
    </row>
    <row r="179" spans="1:7" ht="15.75">
      <c r="A179" s="376"/>
      <c r="B179" s="19" t="s">
        <v>9</v>
      </c>
      <c r="C179" s="20"/>
      <c r="D179" s="60">
        <f>SUM(D176:D178)</f>
        <v>225503.40750000003</v>
      </c>
      <c r="E179" s="20"/>
      <c r="F179" s="57">
        <f>SUM(F176:F178)</f>
        <v>1115.75</v>
      </c>
      <c r="G179" s="57">
        <f>SUM(G176:G178)</f>
        <v>224387.65750000003</v>
      </c>
    </row>
    <row r="180" spans="1:7" ht="63">
      <c r="A180" s="365">
        <v>36</v>
      </c>
      <c r="B180" s="381" t="s">
        <v>123</v>
      </c>
      <c r="C180" s="39" t="s">
        <v>124</v>
      </c>
      <c r="D180" s="34">
        <v>5000</v>
      </c>
      <c r="E180" s="18" t="s">
        <v>13</v>
      </c>
      <c r="F180" s="34"/>
      <c r="G180" s="34">
        <f>D180-F180</f>
        <v>5000</v>
      </c>
    </row>
    <row r="181" spans="1:7" ht="63">
      <c r="A181" s="365"/>
      <c r="B181" s="381"/>
      <c r="C181" s="6" t="s">
        <v>125</v>
      </c>
      <c r="D181" s="34">
        <v>6017.4</v>
      </c>
      <c r="E181" s="18" t="s">
        <v>14</v>
      </c>
      <c r="F181" s="34"/>
      <c r="G181" s="34">
        <f>D181-F181</f>
        <v>6017.4</v>
      </c>
    </row>
    <row r="182" spans="1:7" ht="31.5">
      <c r="A182" s="365"/>
      <c r="B182" s="381"/>
      <c r="C182" s="42" t="s">
        <v>126</v>
      </c>
      <c r="D182" s="34">
        <v>1064.66</v>
      </c>
      <c r="E182" s="18" t="s">
        <v>16</v>
      </c>
      <c r="F182" s="34"/>
      <c r="G182" s="34">
        <f>D182-F182</f>
        <v>1064.66</v>
      </c>
    </row>
    <row r="183" spans="1:7" ht="15.75">
      <c r="A183" s="365"/>
      <c r="B183" s="35" t="s">
        <v>9</v>
      </c>
      <c r="C183" s="36"/>
      <c r="D183" s="37">
        <f>SUM(D180:D182)</f>
        <v>12082.06</v>
      </c>
      <c r="E183" s="38"/>
      <c r="F183" s="37">
        <f>SUM(F180:F182)</f>
        <v>0</v>
      </c>
      <c r="G183" s="37">
        <f>SUM(G180:G182)</f>
        <v>12082.06</v>
      </c>
    </row>
    <row r="184" spans="1:7" ht="31.5">
      <c r="A184" s="365">
        <v>37</v>
      </c>
      <c r="B184" s="381" t="s">
        <v>127</v>
      </c>
      <c r="C184" s="39" t="s">
        <v>128</v>
      </c>
      <c r="D184" s="40">
        <v>15000</v>
      </c>
      <c r="E184" s="41" t="s">
        <v>14</v>
      </c>
      <c r="F184" s="34"/>
      <c r="G184" s="34">
        <f>D184-F184</f>
        <v>15000</v>
      </c>
    </row>
    <row r="185" spans="1:7" ht="31.5">
      <c r="A185" s="365"/>
      <c r="B185" s="381"/>
      <c r="C185" s="39" t="s">
        <v>129</v>
      </c>
      <c r="D185" s="40">
        <v>2000</v>
      </c>
      <c r="E185" s="41" t="s">
        <v>14</v>
      </c>
      <c r="F185" s="34"/>
      <c r="G185" s="34">
        <f>D185-F185</f>
        <v>2000</v>
      </c>
    </row>
    <row r="186" spans="1:7" ht="31.5">
      <c r="A186" s="365"/>
      <c r="B186" s="381"/>
      <c r="C186" s="39" t="s">
        <v>106</v>
      </c>
      <c r="D186" s="40">
        <v>2000</v>
      </c>
      <c r="E186" s="41" t="s">
        <v>16</v>
      </c>
      <c r="F186" s="34"/>
      <c r="G186" s="34">
        <f>D186-F186</f>
        <v>2000</v>
      </c>
    </row>
    <row r="187" spans="1:7" ht="31.5">
      <c r="A187" s="365"/>
      <c r="B187" s="381"/>
      <c r="C187" s="42" t="s">
        <v>126</v>
      </c>
      <c r="D187" s="40">
        <v>10143.22</v>
      </c>
      <c r="E187" s="41" t="s">
        <v>16</v>
      </c>
      <c r="F187" s="34">
        <v>741</v>
      </c>
      <c r="G187" s="34">
        <f>D187-F187</f>
        <v>9402.22</v>
      </c>
    </row>
    <row r="188" spans="1:7" ht="15.75">
      <c r="A188" s="365"/>
      <c r="B188" s="35" t="s">
        <v>9</v>
      </c>
      <c r="C188" s="36"/>
      <c r="D188" s="37">
        <f>SUM(D184:D187)</f>
        <v>29143.22</v>
      </c>
      <c r="E188" s="43"/>
      <c r="F188" s="37">
        <f>SUM(F184:F187)</f>
        <v>741</v>
      </c>
      <c r="G188" s="37">
        <f>SUM(G184:G187)</f>
        <v>28402.22</v>
      </c>
    </row>
    <row r="189" spans="1:7" ht="31.5">
      <c r="A189" s="369">
        <v>38</v>
      </c>
      <c r="B189" s="380" t="s">
        <v>130</v>
      </c>
      <c r="C189" s="39" t="s">
        <v>131</v>
      </c>
      <c r="D189" s="44">
        <v>6000</v>
      </c>
      <c r="E189" s="45" t="s">
        <v>14</v>
      </c>
      <c r="F189" s="44"/>
      <c r="G189" s="44">
        <f>D189-F189</f>
        <v>6000</v>
      </c>
    </row>
    <row r="190" spans="1:7" ht="63">
      <c r="A190" s="369"/>
      <c r="B190" s="380"/>
      <c r="C190" s="6" t="s">
        <v>132</v>
      </c>
      <c r="D190" s="44">
        <v>5481</v>
      </c>
      <c r="E190" s="45" t="s">
        <v>14</v>
      </c>
      <c r="F190" s="44"/>
      <c r="G190" s="44">
        <f>D190-F190</f>
        <v>5481</v>
      </c>
    </row>
    <row r="191" spans="1:7" ht="47.25">
      <c r="A191" s="369"/>
      <c r="B191" s="380"/>
      <c r="C191" s="46" t="s">
        <v>133</v>
      </c>
      <c r="D191" s="44">
        <v>22087.72</v>
      </c>
      <c r="E191" s="45" t="s">
        <v>16</v>
      </c>
      <c r="F191" s="44"/>
      <c r="G191" s="44">
        <f>D191-F191</f>
        <v>22087.72</v>
      </c>
    </row>
    <row r="192" spans="1:7" ht="15.75">
      <c r="A192" s="369"/>
      <c r="B192" s="35" t="s">
        <v>9</v>
      </c>
      <c r="C192" s="36"/>
      <c r="D192" s="37">
        <f>SUM(D189:D191)</f>
        <v>33568.72</v>
      </c>
      <c r="E192" s="37"/>
      <c r="F192" s="37">
        <f>SUM(F189:F191)</f>
        <v>0</v>
      </c>
      <c r="G192" s="37">
        <f>SUM(G189:G191)</f>
        <v>33568.72</v>
      </c>
    </row>
    <row r="193" spans="1:7" ht="63">
      <c r="A193" s="369">
        <v>39</v>
      </c>
      <c r="B193" s="380" t="s">
        <v>134</v>
      </c>
      <c r="C193" s="6" t="s">
        <v>135</v>
      </c>
      <c r="D193" s="44">
        <v>4026.6</v>
      </c>
      <c r="E193" s="17" t="s">
        <v>14</v>
      </c>
      <c r="F193" s="44"/>
      <c r="G193" s="44">
        <f>D193-F193</f>
        <v>4026.6</v>
      </c>
    </row>
    <row r="194" spans="1:7" ht="78.75">
      <c r="A194" s="369"/>
      <c r="B194" s="380"/>
      <c r="C194" s="6" t="s">
        <v>136</v>
      </c>
      <c r="D194" s="44">
        <v>34260.9076</v>
      </c>
      <c r="E194" s="45" t="s">
        <v>16</v>
      </c>
      <c r="F194" s="44"/>
      <c r="G194" s="44">
        <f>D194-F194</f>
        <v>34260.9076</v>
      </c>
    </row>
    <row r="195" spans="1:7" ht="47.25">
      <c r="A195" s="369"/>
      <c r="B195" s="380"/>
      <c r="C195" s="6" t="s">
        <v>137</v>
      </c>
      <c r="D195" s="44">
        <v>2916</v>
      </c>
      <c r="E195" s="17" t="s">
        <v>12</v>
      </c>
      <c r="F195" s="44">
        <v>2916</v>
      </c>
      <c r="G195" s="44">
        <f>D195-F195</f>
        <v>0</v>
      </c>
    </row>
    <row r="196" spans="1:7" ht="15.75">
      <c r="A196" s="369"/>
      <c r="B196" s="35" t="s">
        <v>9</v>
      </c>
      <c r="C196" s="36"/>
      <c r="D196" s="37">
        <f>SUM(D193:D195)</f>
        <v>41203.5076</v>
      </c>
      <c r="E196" s="37"/>
      <c r="F196" s="37">
        <f>SUM(F193:F195)</f>
        <v>2916</v>
      </c>
      <c r="G196" s="37">
        <f>SUM(G193:G195)</f>
        <v>38287.5076</v>
      </c>
    </row>
    <row r="197" spans="1:7" ht="31.5">
      <c r="A197" s="369">
        <v>40</v>
      </c>
      <c r="B197" s="380" t="s">
        <v>138</v>
      </c>
      <c r="C197" s="6" t="s">
        <v>139</v>
      </c>
      <c r="D197" s="44">
        <v>11250</v>
      </c>
      <c r="E197" s="45" t="s">
        <v>13</v>
      </c>
      <c r="F197" s="44"/>
      <c r="G197" s="44">
        <f>D197-F197</f>
        <v>11250</v>
      </c>
    </row>
    <row r="198" spans="1:7" ht="31.5">
      <c r="A198" s="369"/>
      <c r="B198" s="380"/>
      <c r="C198" s="6" t="s">
        <v>140</v>
      </c>
      <c r="D198" s="44">
        <v>9200</v>
      </c>
      <c r="E198" s="45" t="s">
        <v>13</v>
      </c>
      <c r="F198" s="44"/>
      <c r="G198" s="44">
        <f>D198-F198</f>
        <v>9200</v>
      </c>
    </row>
    <row r="199" spans="1:7" ht="31.5">
      <c r="A199" s="369"/>
      <c r="B199" s="380"/>
      <c r="C199" s="47" t="s">
        <v>126</v>
      </c>
      <c r="D199" s="44">
        <v>16453.91</v>
      </c>
      <c r="E199" s="45" t="s">
        <v>16</v>
      </c>
      <c r="F199" s="44"/>
      <c r="G199" s="44">
        <f>D199-F199</f>
        <v>16453.91</v>
      </c>
    </row>
    <row r="200" spans="1:7" ht="15.75">
      <c r="A200" s="369"/>
      <c r="B200" s="35" t="s">
        <v>9</v>
      </c>
      <c r="C200" s="36"/>
      <c r="D200" s="37">
        <f>SUM(D197:D199)</f>
        <v>36903.91</v>
      </c>
      <c r="E200" s="37"/>
      <c r="F200" s="37">
        <f>SUM(F197:F199)</f>
        <v>0</v>
      </c>
      <c r="G200" s="37">
        <f>SUM(G197:G199)</f>
        <v>36903.91</v>
      </c>
    </row>
    <row r="201" spans="1:7" ht="31.5">
      <c r="A201" s="369">
        <v>41</v>
      </c>
      <c r="B201" s="380" t="s">
        <v>141</v>
      </c>
      <c r="C201" s="48" t="s">
        <v>142</v>
      </c>
      <c r="D201" s="44">
        <v>6000</v>
      </c>
      <c r="E201" s="17" t="s">
        <v>14</v>
      </c>
      <c r="F201" s="44"/>
      <c r="G201" s="49">
        <f>D201-F201</f>
        <v>6000</v>
      </c>
    </row>
    <row r="202" spans="1:7" ht="31.5">
      <c r="A202" s="369"/>
      <c r="B202" s="380"/>
      <c r="C202" s="48" t="s">
        <v>143</v>
      </c>
      <c r="D202" s="44">
        <v>1000</v>
      </c>
      <c r="E202" s="17" t="s">
        <v>14</v>
      </c>
      <c r="F202" s="44"/>
      <c r="G202" s="49">
        <f>D202-F202</f>
        <v>1000</v>
      </c>
    </row>
    <row r="203" spans="1:7" ht="63">
      <c r="A203" s="369"/>
      <c r="B203" s="380"/>
      <c r="C203" s="6" t="s">
        <v>144</v>
      </c>
      <c r="D203" s="44">
        <v>6903</v>
      </c>
      <c r="E203" s="17" t="s">
        <v>14</v>
      </c>
      <c r="F203" s="44"/>
      <c r="G203" s="49">
        <f>D203-F203</f>
        <v>6903</v>
      </c>
    </row>
    <row r="204" spans="1:7" ht="31.5">
      <c r="A204" s="369"/>
      <c r="B204" s="380"/>
      <c r="C204" s="47" t="s">
        <v>126</v>
      </c>
      <c r="D204" s="44">
        <v>3963.31</v>
      </c>
      <c r="E204" s="45" t="s">
        <v>16</v>
      </c>
      <c r="F204" s="44"/>
      <c r="G204" s="49">
        <f>D204-F204</f>
        <v>3963.31</v>
      </c>
    </row>
    <row r="205" spans="1:7" ht="15.75">
      <c r="A205" s="369"/>
      <c r="B205" s="35" t="s">
        <v>9</v>
      </c>
      <c r="C205" s="36"/>
      <c r="D205" s="37">
        <f>SUM(D202:D204)</f>
        <v>11866.31</v>
      </c>
      <c r="E205" s="37"/>
      <c r="F205" s="37">
        <f>SUM(F202:F204)</f>
        <v>0</v>
      </c>
      <c r="G205" s="37">
        <f>SUM(G202:G204)</f>
        <v>11866.31</v>
      </c>
    </row>
    <row r="206" spans="1:7" ht="19.5" customHeight="1">
      <c r="A206" s="369">
        <v>42</v>
      </c>
      <c r="B206" s="380" t="s">
        <v>145</v>
      </c>
      <c r="C206" s="6" t="s">
        <v>146</v>
      </c>
      <c r="D206" s="44">
        <v>17200</v>
      </c>
      <c r="E206" s="45" t="s">
        <v>13</v>
      </c>
      <c r="F206" s="44"/>
      <c r="G206" s="49">
        <f>D206-F206</f>
        <v>17200</v>
      </c>
    </row>
    <row r="207" spans="1:7" ht="31.5">
      <c r="A207" s="369"/>
      <c r="B207" s="380"/>
      <c r="C207" s="42" t="s">
        <v>147</v>
      </c>
      <c r="D207" s="44">
        <v>2018.56</v>
      </c>
      <c r="E207" s="45" t="s">
        <v>16</v>
      </c>
      <c r="F207" s="44"/>
      <c r="G207" s="49">
        <f>D207-F207</f>
        <v>2018.56</v>
      </c>
    </row>
    <row r="208" spans="1:7" ht="15.75">
      <c r="A208" s="369"/>
      <c r="B208" s="35" t="s">
        <v>9</v>
      </c>
      <c r="C208" s="36"/>
      <c r="D208" s="37">
        <f>SUM(D206:D207)</f>
        <v>19218.56</v>
      </c>
      <c r="E208" s="37"/>
      <c r="F208" s="37">
        <f>SUM(F206:F207)</f>
        <v>0</v>
      </c>
      <c r="G208" s="37">
        <f>SUM(G206:G207)</f>
        <v>19218.56</v>
      </c>
    </row>
    <row r="209" spans="1:7" ht="47.25">
      <c r="A209" s="369">
        <v>43</v>
      </c>
      <c r="B209" s="380" t="s">
        <v>148</v>
      </c>
      <c r="C209" s="6" t="s">
        <v>149</v>
      </c>
      <c r="D209" s="44">
        <v>4000</v>
      </c>
      <c r="E209" s="17" t="s">
        <v>14</v>
      </c>
      <c r="F209" s="44"/>
      <c r="G209" s="49">
        <f>D209-F209</f>
        <v>4000</v>
      </c>
    </row>
    <row r="210" spans="1:7" ht="78.75">
      <c r="A210" s="369"/>
      <c r="B210" s="380"/>
      <c r="C210" s="6" t="s">
        <v>150</v>
      </c>
      <c r="D210" s="44">
        <v>12025.8</v>
      </c>
      <c r="E210" s="17" t="s">
        <v>14</v>
      </c>
      <c r="F210" s="44"/>
      <c r="G210" s="49">
        <f>D210-F210</f>
        <v>12025.8</v>
      </c>
    </row>
    <row r="211" spans="1:7" ht="63">
      <c r="A211" s="369"/>
      <c r="B211" s="380"/>
      <c r="C211" s="42" t="s">
        <v>151</v>
      </c>
      <c r="D211" s="44">
        <v>4297.57</v>
      </c>
      <c r="E211" s="17" t="s">
        <v>16</v>
      </c>
      <c r="F211" s="44"/>
      <c r="G211" s="49">
        <f>D211-F211</f>
        <v>4297.57</v>
      </c>
    </row>
    <row r="212" spans="1:7" ht="15.75">
      <c r="A212" s="369"/>
      <c r="B212" s="35" t="s">
        <v>9</v>
      </c>
      <c r="C212" s="36"/>
      <c r="D212" s="37">
        <f>SUM(D209:D211)</f>
        <v>20323.37</v>
      </c>
      <c r="E212" s="37"/>
      <c r="F212" s="37">
        <f>SUM(F209:F211)</f>
        <v>0</v>
      </c>
      <c r="G212" s="37">
        <f>SUM(G209:G211)</f>
        <v>20323.37</v>
      </c>
    </row>
    <row r="213" spans="1:7" ht="47.25">
      <c r="A213" s="369">
        <v>44</v>
      </c>
      <c r="B213" s="380" t="s">
        <v>152</v>
      </c>
      <c r="C213" s="6" t="s">
        <v>149</v>
      </c>
      <c r="D213" s="50">
        <v>4000</v>
      </c>
      <c r="E213" s="17" t="s">
        <v>14</v>
      </c>
      <c r="F213" s="44"/>
      <c r="G213" s="49">
        <f>D213-F213</f>
        <v>4000</v>
      </c>
    </row>
    <row r="214" spans="1:7" ht="63">
      <c r="A214" s="369"/>
      <c r="B214" s="380"/>
      <c r="C214" s="48" t="s">
        <v>153</v>
      </c>
      <c r="D214" s="50">
        <v>3724.2</v>
      </c>
      <c r="E214" s="17" t="s">
        <v>14</v>
      </c>
      <c r="F214" s="44"/>
      <c r="G214" s="49">
        <f>D214-F214</f>
        <v>3724.2</v>
      </c>
    </row>
    <row r="215" spans="1:7" ht="47.25">
      <c r="A215" s="369"/>
      <c r="B215" s="380"/>
      <c r="C215" s="42" t="s">
        <v>154</v>
      </c>
      <c r="D215" s="50">
        <v>5609.52</v>
      </c>
      <c r="E215" s="17" t="s">
        <v>16</v>
      </c>
      <c r="F215" s="44"/>
      <c r="G215" s="49">
        <f>D215-F215</f>
        <v>5609.52</v>
      </c>
    </row>
    <row r="216" spans="1:7" ht="15.75">
      <c r="A216" s="369"/>
      <c r="B216" s="35" t="s">
        <v>9</v>
      </c>
      <c r="C216" s="36"/>
      <c r="D216" s="37">
        <f>SUM(D213:D215)</f>
        <v>13333.720000000001</v>
      </c>
      <c r="E216" s="37"/>
      <c r="F216" s="37">
        <f>SUM(F213:F215)</f>
        <v>0</v>
      </c>
      <c r="G216" s="37">
        <f>SUM(G213:G215)</f>
        <v>13333.720000000001</v>
      </c>
    </row>
    <row r="217" spans="1:7" ht="47.25">
      <c r="A217" s="369">
        <v>45</v>
      </c>
      <c r="B217" s="380" t="s">
        <v>155</v>
      </c>
      <c r="C217" s="6" t="s">
        <v>149</v>
      </c>
      <c r="D217" s="44">
        <v>4000</v>
      </c>
      <c r="E217" s="17" t="s">
        <v>14</v>
      </c>
      <c r="F217" s="44"/>
      <c r="G217" s="49">
        <f>D217-F217</f>
        <v>4000</v>
      </c>
    </row>
    <row r="218" spans="1:7" ht="63">
      <c r="A218" s="369"/>
      <c r="B218" s="380"/>
      <c r="C218" s="39" t="s">
        <v>156</v>
      </c>
      <c r="D218" s="44">
        <v>16835.21</v>
      </c>
      <c r="E218" s="17" t="s">
        <v>16</v>
      </c>
      <c r="F218" s="44"/>
      <c r="G218" s="49">
        <f>D218-F218</f>
        <v>16835.21</v>
      </c>
    </row>
    <row r="219" spans="1:7" ht="15.75">
      <c r="A219" s="369"/>
      <c r="B219" s="35" t="s">
        <v>9</v>
      </c>
      <c r="C219" s="36"/>
      <c r="D219" s="37">
        <f>SUM(D217:D218)</f>
        <v>20835.21</v>
      </c>
      <c r="E219" s="37"/>
      <c r="F219" s="37">
        <f>SUM(F217:F218)</f>
        <v>0</v>
      </c>
      <c r="G219" s="37">
        <f>SUM(G217:G218)</f>
        <v>20835.21</v>
      </c>
    </row>
    <row r="220" spans="1:7" ht="47.25">
      <c r="A220" s="369">
        <v>46</v>
      </c>
      <c r="B220" s="380" t="s">
        <v>157</v>
      </c>
      <c r="C220" s="6" t="s">
        <v>149</v>
      </c>
      <c r="D220" s="44">
        <v>4000</v>
      </c>
      <c r="E220" s="17" t="s">
        <v>14</v>
      </c>
      <c r="F220" s="44"/>
      <c r="G220" s="49">
        <f>D220-F220</f>
        <v>4000</v>
      </c>
    </row>
    <row r="221" spans="1:7" ht="63">
      <c r="A221" s="369"/>
      <c r="B221" s="380"/>
      <c r="C221" s="39" t="s">
        <v>156</v>
      </c>
      <c r="D221" s="44">
        <v>16014.52</v>
      </c>
      <c r="E221" s="17" t="s">
        <v>16</v>
      </c>
      <c r="F221" s="44"/>
      <c r="G221" s="49">
        <f>D221-F221</f>
        <v>16014.52</v>
      </c>
    </row>
    <row r="222" spans="1:7" ht="15.75">
      <c r="A222" s="369"/>
      <c r="B222" s="35" t="s">
        <v>9</v>
      </c>
      <c r="C222" s="36"/>
      <c r="D222" s="37">
        <f>SUM(D220:D221)</f>
        <v>20014.52</v>
      </c>
      <c r="E222" s="37"/>
      <c r="F222" s="37">
        <f>SUM(F220:F221)</f>
        <v>0</v>
      </c>
      <c r="G222" s="37">
        <f>SUM(G220:G221)</f>
        <v>20014.52</v>
      </c>
    </row>
    <row r="223" spans="1:7" ht="31.5">
      <c r="A223" s="369">
        <v>47</v>
      </c>
      <c r="B223" s="380" t="s">
        <v>158</v>
      </c>
      <c r="C223" s="39" t="s">
        <v>159</v>
      </c>
      <c r="D223" s="44">
        <v>5000</v>
      </c>
      <c r="E223" s="17" t="s">
        <v>16</v>
      </c>
      <c r="F223" s="44"/>
      <c r="G223" s="49">
        <f aca="true" t="shared" si="1" ref="G223:G228">D223-F223</f>
        <v>5000</v>
      </c>
    </row>
    <row r="224" spans="1:7" ht="31.5">
      <c r="A224" s="369"/>
      <c r="B224" s="380"/>
      <c r="C224" s="39" t="s">
        <v>120</v>
      </c>
      <c r="D224" s="44">
        <v>32457</v>
      </c>
      <c r="E224" s="17" t="s">
        <v>13</v>
      </c>
      <c r="F224" s="44">
        <f>18.22+0.18</f>
        <v>18.4</v>
      </c>
      <c r="G224" s="49">
        <f t="shared" si="1"/>
        <v>32438.6</v>
      </c>
    </row>
    <row r="225" spans="1:7" ht="78.75">
      <c r="A225" s="369"/>
      <c r="B225" s="380"/>
      <c r="C225" s="6" t="s">
        <v>160</v>
      </c>
      <c r="D225" s="44">
        <v>12627.68</v>
      </c>
      <c r="E225" s="17" t="s">
        <v>14</v>
      </c>
      <c r="F225" s="44"/>
      <c r="G225" s="49">
        <f t="shared" si="1"/>
        <v>12627.68</v>
      </c>
    </row>
    <row r="226" spans="1:7" ht="94.5">
      <c r="A226" s="369"/>
      <c r="B226" s="380"/>
      <c r="C226" s="39" t="s">
        <v>161</v>
      </c>
      <c r="D226" s="44">
        <v>9000</v>
      </c>
      <c r="E226" s="17" t="s">
        <v>13</v>
      </c>
      <c r="F226" s="44"/>
      <c r="G226" s="49">
        <f t="shared" si="1"/>
        <v>9000</v>
      </c>
    </row>
    <row r="227" spans="1:7" ht="31.5">
      <c r="A227" s="369"/>
      <c r="B227" s="380"/>
      <c r="C227" s="6" t="s">
        <v>162</v>
      </c>
      <c r="D227" s="44">
        <v>1822</v>
      </c>
      <c r="E227" s="17" t="s">
        <v>12</v>
      </c>
      <c r="F227" s="44"/>
      <c r="G227" s="49">
        <f t="shared" si="1"/>
        <v>1822</v>
      </c>
    </row>
    <row r="228" spans="1:7" ht="78.75">
      <c r="A228" s="369"/>
      <c r="B228" s="380"/>
      <c r="C228" s="39" t="s">
        <v>163</v>
      </c>
      <c r="D228" s="44">
        <v>26634.56</v>
      </c>
      <c r="E228" s="17" t="s">
        <v>16</v>
      </c>
      <c r="F228" s="44"/>
      <c r="G228" s="49">
        <f t="shared" si="1"/>
        <v>26634.56</v>
      </c>
    </row>
    <row r="229" spans="1:7" ht="15.75">
      <c r="A229" s="369"/>
      <c r="B229" s="35" t="s">
        <v>9</v>
      </c>
      <c r="C229" s="36"/>
      <c r="D229" s="37">
        <f>SUM(D223:D228)</f>
        <v>87541.24</v>
      </c>
      <c r="E229" s="37"/>
      <c r="F229" s="37">
        <f>SUM(F223:F228)</f>
        <v>18.4</v>
      </c>
      <c r="G229" s="37">
        <f>SUM(G223:G228)</f>
        <v>87522.84</v>
      </c>
    </row>
    <row r="230" spans="1:7" ht="78.75">
      <c r="A230" s="369">
        <v>48</v>
      </c>
      <c r="B230" s="380" t="s">
        <v>164</v>
      </c>
      <c r="C230" s="39" t="s">
        <v>165</v>
      </c>
      <c r="D230" s="44">
        <v>8000</v>
      </c>
      <c r="E230" s="17" t="s">
        <v>14</v>
      </c>
      <c r="F230" s="44"/>
      <c r="G230" s="49">
        <f>D230-F230</f>
        <v>8000</v>
      </c>
    </row>
    <row r="231" spans="1:7" ht="78.75">
      <c r="A231" s="369"/>
      <c r="B231" s="380"/>
      <c r="C231" s="6" t="s">
        <v>166</v>
      </c>
      <c r="D231" s="44">
        <v>12603.56</v>
      </c>
      <c r="E231" s="17" t="s">
        <v>14</v>
      </c>
      <c r="F231" s="44">
        <v>2206.76</v>
      </c>
      <c r="G231" s="49">
        <f>D231-F231</f>
        <v>10396.8</v>
      </c>
    </row>
    <row r="232" spans="1:7" ht="94.5">
      <c r="A232" s="369"/>
      <c r="B232" s="380"/>
      <c r="C232" s="39" t="s">
        <v>167</v>
      </c>
      <c r="D232" s="44">
        <v>5000</v>
      </c>
      <c r="E232" s="17" t="s">
        <v>14</v>
      </c>
      <c r="F232" s="44"/>
      <c r="G232" s="49">
        <f>D232-F232</f>
        <v>5000</v>
      </c>
    </row>
    <row r="233" spans="1:7" ht="94.5">
      <c r="A233" s="369"/>
      <c r="B233" s="380"/>
      <c r="C233" s="39" t="s">
        <v>161</v>
      </c>
      <c r="D233" s="44">
        <v>11000</v>
      </c>
      <c r="E233" s="17" t="s">
        <v>13</v>
      </c>
      <c r="F233" s="44"/>
      <c r="G233" s="49">
        <f>D233-F233</f>
        <v>11000</v>
      </c>
    </row>
    <row r="234" spans="1:7" ht="31.5">
      <c r="A234" s="369"/>
      <c r="B234" s="380"/>
      <c r="C234" s="42" t="s">
        <v>126</v>
      </c>
      <c r="D234" s="44">
        <v>23151.08</v>
      </c>
      <c r="E234" s="17" t="s">
        <v>16</v>
      </c>
      <c r="F234" s="44">
        <f>327.01+6.1</f>
        <v>333.11</v>
      </c>
      <c r="G234" s="49">
        <f>D234-F234</f>
        <v>22817.97</v>
      </c>
    </row>
    <row r="235" spans="1:7" ht="15.75">
      <c r="A235" s="369"/>
      <c r="B235" s="35" t="s">
        <v>9</v>
      </c>
      <c r="C235" s="36"/>
      <c r="D235" s="37">
        <f>SUM(D230:D234)</f>
        <v>59754.64</v>
      </c>
      <c r="E235" s="37"/>
      <c r="F235" s="37">
        <f>SUM(F230:F234)</f>
        <v>2539.8700000000003</v>
      </c>
      <c r="G235" s="37">
        <f>SUM(G230:G234)</f>
        <v>57214.770000000004</v>
      </c>
    </row>
    <row r="236" spans="1:7" ht="94.5">
      <c r="A236" s="369">
        <v>49</v>
      </c>
      <c r="B236" s="380" t="s">
        <v>168</v>
      </c>
      <c r="C236" s="39" t="s">
        <v>169</v>
      </c>
      <c r="D236" s="40">
        <v>3000</v>
      </c>
      <c r="E236" s="17" t="s">
        <v>14</v>
      </c>
      <c r="F236" s="44"/>
      <c r="G236" s="49">
        <f>D236-F236</f>
        <v>3000</v>
      </c>
    </row>
    <row r="237" spans="1:7" ht="47.25">
      <c r="A237" s="369"/>
      <c r="B237" s="380"/>
      <c r="C237" s="39" t="s">
        <v>170</v>
      </c>
      <c r="D237" s="40">
        <v>5508</v>
      </c>
      <c r="E237" s="17" t="s">
        <v>12</v>
      </c>
      <c r="F237" s="44"/>
      <c r="G237" s="49">
        <f>D237-F237</f>
        <v>5508</v>
      </c>
    </row>
    <row r="238" spans="1:7" ht="31.5">
      <c r="A238" s="369"/>
      <c r="B238" s="380"/>
      <c r="C238" s="42" t="s">
        <v>126</v>
      </c>
      <c r="D238" s="40">
        <v>649.92</v>
      </c>
      <c r="E238" s="17" t="s">
        <v>16</v>
      </c>
      <c r="F238" s="44"/>
      <c r="G238" s="49">
        <f>D238-F238</f>
        <v>649.92</v>
      </c>
    </row>
    <row r="239" spans="1:7" ht="47.25">
      <c r="A239" s="369"/>
      <c r="B239" s="380"/>
      <c r="C239" s="39" t="s">
        <v>171</v>
      </c>
      <c r="D239" s="34">
        <v>55000</v>
      </c>
      <c r="E239" s="17" t="s">
        <v>13</v>
      </c>
      <c r="F239" s="44"/>
      <c r="G239" s="49">
        <f>D239-F239</f>
        <v>55000</v>
      </c>
    </row>
    <row r="240" spans="1:7" ht="15.75">
      <c r="A240" s="369"/>
      <c r="B240" s="35" t="s">
        <v>9</v>
      </c>
      <c r="C240" s="36"/>
      <c r="D240" s="37">
        <f>SUM(D236:D239)</f>
        <v>64157.92</v>
      </c>
      <c r="E240" s="37">
        <f>SUM(E236:E239)</f>
        <v>0</v>
      </c>
      <c r="F240" s="37">
        <f>SUM(F236:F239)</f>
        <v>0</v>
      </c>
      <c r="G240" s="37">
        <f>SUM(G236:G239)</f>
        <v>64157.92</v>
      </c>
    </row>
    <row r="241" spans="1:7" ht="78.75">
      <c r="A241" s="369">
        <v>50</v>
      </c>
      <c r="B241" s="380" t="s">
        <v>172</v>
      </c>
      <c r="C241" s="39" t="s">
        <v>165</v>
      </c>
      <c r="D241" s="44">
        <v>8000</v>
      </c>
      <c r="E241" s="17" t="s">
        <v>14</v>
      </c>
      <c r="F241" s="44"/>
      <c r="G241" s="49">
        <f aca="true" t="shared" si="2" ref="G241:G246">D241-F241</f>
        <v>8000</v>
      </c>
    </row>
    <row r="242" spans="1:7" ht="47.25">
      <c r="A242" s="369"/>
      <c r="B242" s="380"/>
      <c r="C242" s="6" t="s">
        <v>173</v>
      </c>
      <c r="D242" s="44">
        <v>4888.8</v>
      </c>
      <c r="E242" s="17" t="s">
        <v>14</v>
      </c>
      <c r="F242" s="44">
        <v>2206.76</v>
      </c>
      <c r="G242" s="49">
        <f t="shared" si="2"/>
        <v>2682.04</v>
      </c>
    </row>
    <row r="243" spans="1:7" ht="94.5">
      <c r="A243" s="369"/>
      <c r="B243" s="380"/>
      <c r="C243" s="39" t="s">
        <v>161</v>
      </c>
      <c r="D243" s="44">
        <v>11000</v>
      </c>
      <c r="E243" s="17" t="s">
        <v>13</v>
      </c>
      <c r="F243" s="44"/>
      <c r="G243" s="49">
        <f t="shared" si="2"/>
        <v>11000</v>
      </c>
    </row>
    <row r="244" spans="1:7" ht="94.5">
      <c r="A244" s="369"/>
      <c r="B244" s="380"/>
      <c r="C244" s="39" t="s">
        <v>167</v>
      </c>
      <c r="D244" s="44">
        <v>5000</v>
      </c>
      <c r="E244" s="17" t="s">
        <v>14</v>
      </c>
      <c r="F244" s="44"/>
      <c r="G244" s="49">
        <f t="shared" si="2"/>
        <v>5000</v>
      </c>
    </row>
    <row r="245" spans="1:7" ht="31.5">
      <c r="A245" s="369"/>
      <c r="B245" s="380"/>
      <c r="C245" s="42" t="s">
        <v>126</v>
      </c>
      <c r="D245" s="44">
        <v>30028.22</v>
      </c>
      <c r="E245" s="17" t="s">
        <v>16</v>
      </c>
      <c r="F245" s="44">
        <v>550.49</v>
      </c>
      <c r="G245" s="49">
        <f t="shared" si="2"/>
        <v>29477.73</v>
      </c>
    </row>
    <row r="246" spans="1:7" ht="47.25">
      <c r="A246" s="369"/>
      <c r="B246" s="380"/>
      <c r="C246" s="39" t="s">
        <v>174</v>
      </c>
      <c r="D246" s="44">
        <v>1100</v>
      </c>
      <c r="E246" s="17" t="s">
        <v>13</v>
      </c>
      <c r="F246" s="44"/>
      <c r="G246" s="49">
        <f t="shared" si="2"/>
        <v>1100</v>
      </c>
    </row>
    <row r="247" spans="1:7" ht="15.75">
      <c r="A247" s="369"/>
      <c r="B247" s="35" t="s">
        <v>9</v>
      </c>
      <c r="C247" s="36"/>
      <c r="D247" s="37">
        <f>SUM(D241:D246)</f>
        <v>60017.020000000004</v>
      </c>
      <c r="E247" s="37"/>
      <c r="F247" s="37">
        <f>SUM(F241:F246)</f>
        <v>2757.25</v>
      </c>
      <c r="G247" s="37">
        <f>SUM(G241:G246)</f>
        <v>57259.770000000004</v>
      </c>
    </row>
    <row r="248" spans="1:7" ht="63">
      <c r="A248" s="369">
        <v>51</v>
      </c>
      <c r="B248" s="380" t="s">
        <v>175</v>
      </c>
      <c r="C248" s="39" t="s">
        <v>176</v>
      </c>
      <c r="D248" s="44">
        <v>8000</v>
      </c>
      <c r="E248" s="17" t="s">
        <v>14</v>
      </c>
      <c r="F248" s="44"/>
      <c r="G248" s="49">
        <f aca="true" t="shared" si="3" ref="G248:G253">D248-F248</f>
        <v>8000</v>
      </c>
    </row>
    <row r="249" spans="1:7" ht="78.75">
      <c r="A249" s="369"/>
      <c r="B249" s="380"/>
      <c r="C249" s="6" t="s">
        <v>177</v>
      </c>
      <c r="D249" s="44">
        <v>19659.6</v>
      </c>
      <c r="E249" s="17" t="s">
        <v>14</v>
      </c>
      <c r="F249" s="44"/>
      <c r="G249" s="49">
        <f t="shared" si="3"/>
        <v>19659.6</v>
      </c>
    </row>
    <row r="250" spans="1:7" ht="47.25">
      <c r="A250" s="369"/>
      <c r="B250" s="380"/>
      <c r="C250" s="39" t="s">
        <v>178</v>
      </c>
      <c r="D250" s="44">
        <v>3240</v>
      </c>
      <c r="E250" s="17" t="s">
        <v>13</v>
      </c>
      <c r="F250" s="44"/>
      <c r="G250" s="49">
        <f t="shared" si="3"/>
        <v>3240</v>
      </c>
    </row>
    <row r="251" spans="1:7" ht="94.5">
      <c r="A251" s="369"/>
      <c r="B251" s="380"/>
      <c r="C251" s="39" t="s">
        <v>161</v>
      </c>
      <c r="D251" s="44">
        <v>11000</v>
      </c>
      <c r="E251" s="17" t="s">
        <v>13</v>
      </c>
      <c r="F251" s="44"/>
      <c r="G251" s="49">
        <f t="shared" si="3"/>
        <v>11000</v>
      </c>
    </row>
    <row r="252" spans="1:7" ht="94.5">
      <c r="A252" s="369"/>
      <c r="B252" s="380"/>
      <c r="C252" s="39" t="s">
        <v>179</v>
      </c>
      <c r="D252" s="44">
        <v>5000</v>
      </c>
      <c r="E252" s="17" t="s">
        <v>14</v>
      </c>
      <c r="F252" s="44"/>
      <c r="G252" s="49">
        <f t="shared" si="3"/>
        <v>5000</v>
      </c>
    </row>
    <row r="253" spans="1:7" ht="31.5">
      <c r="A253" s="369"/>
      <c r="B253" s="380"/>
      <c r="C253" s="42" t="s">
        <v>126</v>
      </c>
      <c r="D253" s="44">
        <v>11011.41</v>
      </c>
      <c r="E253" s="17" t="s">
        <v>16</v>
      </c>
      <c r="F253" s="44">
        <v>275.2</v>
      </c>
      <c r="G253" s="49">
        <f t="shared" si="3"/>
        <v>10736.21</v>
      </c>
    </row>
    <row r="254" spans="1:7" ht="15.75">
      <c r="A254" s="369"/>
      <c r="B254" s="35" t="s">
        <v>9</v>
      </c>
      <c r="C254" s="36"/>
      <c r="D254" s="37">
        <f>SUM(D248:D253)</f>
        <v>57911.009999999995</v>
      </c>
      <c r="E254" s="37"/>
      <c r="F254" s="37">
        <f>SUM(F248:F253)</f>
        <v>275.2</v>
      </c>
      <c r="G254" s="37">
        <f>SUM(G248:G253)</f>
        <v>57635.81</v>
      </c>
    </row>
    <row r="255" spans="1:7" ht="78.75">
      <c r="A255" s="369">
        <v>52</v>
      </c>
      <c r="B255" s="380" t="s">
        <v>180</v>
      </c>
      <c r="C255" s="39" t="s">
        <v>165</v>
      </c>
      <c r="D255" s="44">
        <v>5000</v>
      </c>
      <c r="E255" s="17" t="s">
        <v>14</v>
      </c>
      <c r="F255" s="44"/>
      <c r="G255" s="49">
        <f>D255-F255</f>
        <v>5000</v>
      </c>
    </row>
    <row r="256" spans="1:7" ht="94.5">
      <c r="A256" s="369"/>
      <c r="B256" s="380"/>
      <c r="C256" s="39" t="s">
        <v>161</v>
      </c>
      <c r="D256" s="44">
        <v>10500</v>
      </c>
      <c r="E256" s="17" t="s">
        <v>13</v>
      </c>
      <c r="F256" s="44"/>
      <c r="G256" s="49">
        <f>D256-F256</f>
        <v>10500</v>
      </c>
    </row>
    <row r="257" spans="1:7" ht="94.5">
      <c r="A257" s="369"/>
      <c r="B257" s="380"/>
      <c r="C257" s="39" t="s">
        <v>167</v>
      </c>
      <c r="D257" s="44">
        <v>5000</v>
      </c>
      <c r="E257" s="17" t="s">
        <v>14</v>
      </c>
      <c r="F257" s="44"/>
      <c r="G257" s="49">
        <f>D257-F257</f>
        <v>5000</v>
      </c>
    </row>
    <row r="258" spans="1:7" ht="31.5">
      <c r="A258" s="369"/>
      <c r="B258" s="380"/>
      <c r="C258" s="42" t="s">
        <v>126</v>
      </c>
      <c r="D258" s="44">
        <v>519.52</v>
      </c>
      <c r="E258" s="17" t="s">
        <v>14</v>
      </c>
      <c r="F258" s="44">
        <f>2440.4+330.28</f>
        <v>2770.6800000000003</v>
      </c>
      <c r="G258" s="49">
        <f>D258-F258</f>
        <v>-2251.1600000000003</v>
      </c>
    </row>
    <row r="259" spans="1:7" ht="47.25">
      <c r="A259" s="369"/>
      <c r="B259" s="380"/>
      <c r="C259" s="39" t="s">
        <v>181</v>
      </c>
      <c r="D259" s="44">
        <v>28000</v>
      </c>
      <c r="E259" s="17" t="s">
        <v>13</v>
      </c>
      <c r="F259" s="44"/>
      <c r="G259" s="49">
        <f>D259-F259</f>
        <v>28000</v>
      </c>
    </row>
    <row r="260" spans="1:7" ht="15.75">
      <c r="A260" s="374"/>
      <c r="B260" s="150" t="s">
        <v>9</v>
      </c>
      <c r="C260" s="109"/>
      <c r="D260" s="151">
        <f>SUM(D255:D259)</f>
        <v>49019.520000000004</v>
      </c>
      <c r="E260" s="151"/>
      <c r="F260" s="151">
        <f>SUM(F255:F259)</f>
        <v>2770.6800000000003</v>
      </c>
      <c r="G260" s="151">
        <f>SUM(G255:G259)</f>
        <v>46248.84</v>
      </c>
    </row>
    <row r="261" spans="1:7" ht="15.75">
      <c r="A261" s="113"/>
      <c r="B261" s="156"/>
      <c r="C261" s="115"/>
      <c r="D261" s="157"/>
      <c r="E261" s="157"/>
      <c r="F261" s="157"/>
      <c r="G261" s="157"/>
    </row>
    <row r="262" spans="1:7" ht="15.75">
      <c r="A262" s="100"/>
      <c r="B262" s="154"/>
      <c r="C262" s="112"/>
      <c r="D262" s="155"/>
      <c r="E262" s="155"/>
      <c r="F262" s="155"/>
      <c r="G262" s="155"/>
    </row>
    <row r="263" spans="1:7" ht="15.75">
      <c r="A263" s="118"/>
      <c r="B263" s="158"/>
      <c r="C263" s="120"/>
      <c r="D263" s="159"/>
      <c r="E263" s="159"/>
      <c r="F263" s="159"/>
      <c r="G263" s="159"/>
    </row>
    <row r="264" spans="1:7" ht="47.25">
      <c r="A264" s="373">
        <v>53</v>
      </c>
      <c r="B264" s="382" t="s">
        <v>182</v>
      </c>
      <c r="C264" s="110" t="s">
        <v>183</v>
      </c>
      <c r="D264" s="152">
        <v>8516</v>
      </c>
      <c r="E264" s="54" t="s">
        <v>13</v>
      </c>
      <c r="F264" s="152"/>
      <c r="G264" s="153">
        <f>D264-F264</f>
        <v>8516</v>
      </c>
    </row>
    <row r="265" spans="1:7" ht="31.5">
      <c r="A265" s="369"/>
      <c r="B265" s="380"/>
      <c r="C265" s="6" t="s">
        <v>184</v>
      </c>
      <c r="D265" s="44">
        <v>16000</v>
      </c>
      <c r="E265" s="17" t="s">
        <v>13</v>
      </c>
      <c r="F265" s="44"/>
      <c r="G265" s="49">
        <f>D265-F265</f>
        <v>16000</v>
      </c>
    </row>
    <row r="266" spans="1:7" ht="47.25">
      <c r="A266" s="369"/>
      <c r="B266" s="380"/>
      <c r="C266" s="6" t="s">
        <v>185</v>
      </c>
      <c r="D266" s="44">
        <v>450</v>
      </c>
      <c r="E266" s="17" t="s">
        <v>13</v>
      </c>
      <c r="F266" s="44"/>
      <c r="G266" s="49">
        <f>D266-F266</f>
        <v>450</v>
      </c>
    </row>
    <row r="267" spans="1:7" ht="31.5">
      <c r="A267" s="369"/>
      <c r="B267" s="380"/>
      <c r="C267" s="51" t="s">
        <v>126</v>
      </c>
      <c r="D267" s="44">
        <v>10491.03</v>
      </c>
      <c r="E267" s="17" t="s">
        <v>16</v>
      </c>
      <c r="F267" s="44"/>
      <c r="G267" s="49">
        <f>D267-F267</f>
        <v>10491.03</v>
      </c>
    </row>
    <row r="268" spans="1:7" ht="15.75">
      <c r="A268" s="369"/>
      <c r="B268" s="35" t="s">
        <v>9</v>
      </c>
      <c r="C268" s="36"/>
      <c r="D268" s="37">
        <f>SUM(D264:D267)</f>
        <v>35457.03</v>
      </c>
      <c r="E268" s="37"/>
      <c r="F268" s="37">
        <f>SUM(F264:F267)</f>
        <v>0</v>
      </c>
      <c r="G268" s="37">
        <f>SUM(G264:G267)</f>
        <v>35457.03</v>
      </c>
    </row>
    <row r="269" spans="1:7" ht="31.5">
      <c r="A269" s="369">
        <v>54</v>
      </c>
      <c r="B269" s="380" t="s">
        <v>186</v>
      </c>
      <c r="C269" s="6" t="s">
        <v>187</v>
      </c>
      <c r="D269" s="44">
        <v>4500</v>
      </c>
      <c r="E269" s="17" t="s">
        <v>14</v>
      </c>
      <c r="F269" s="44"/>
      <c r="G269" s="49">
        <f>D269-F269</f>
        <v>4500</v>
      </c>
    </row>
    <row r="270" spans="1:7" ht="63">
      <c r="A270" s="369"/>
      <c r="B270" s="380"/>
      <c r="C270" s="51" t="s">
        <v>188</v>
      </c>
      <c r="D270" s="44">
        <v>15884.11</v>
      </c>
      <c r="E270" s="17" t="s">
        <v>16</v>
      </c>
      <c r="F270" s="44"/>
      <c r="G270" s="49">
        <f>D270-F270</f>
        <v>15884.11</v>
      </c>
    </row>
    <row r="271" spans="1:7" ht="15.75">
      <c r="A271" s="369"/>
      <c r="B271" s="35" t="s">
        <v>9</v>
      </c>
      <c r="C271" s="36"/>
      <c r="D271" s="37">
        <f>SUM(D269:D270)</f>
        <v>20384.11</v>
      </c>
      <c r="E271" s="37"/>
      <c r="F271" s="37">
        <f>SUM(F269:F270)</f>
        <v>0</v>
      </c>
      <c r="G271" s="37">
        <f>SUM(G269:G270)</f>
        <v>20384.11</v>
      </c>
    </row>
    <row r="272" spans="1:7" ht="31.5">
      <c r="A272" s="369">
        <v>55</v>
      </c>
      <c r="B272" s="380" t="s">
        <v>189</v>
      </c>
      <c r="C272" s="6" t="s">
        <v>187</v>
      </c>
      <c r="D272" s="44">
        <v>4500</v>
      </c>
      <c r="E272" s="17" t="s">
        <v>14</v>
      </c>
      <c r="F272" s="44"/>
      <c r="G272" s="49">
        <f>D272-F272</f>
        <v>4500</v>
      </c>
    </row>
    <row r="273" spans="1:7" ht="31.5">
      <c r="A273" s="369"/>
      <c r="B273" s="380"/>
      <c r="C273" s="6" t="s">
        <v>190</v>
      </c>
      <c r="D273" s="44">
        <v>23400</v>
      </c>
      <c r="E273" s="17" t="s">
        <v>13</v>
      </c>
      <c r="F273" s="44"/>
      <c r="G273" s="49">
        <f>D273-F273</f>
        <v>23400</v>
      </c>
    </row>
    <row r="274" spans="1:7" ht="63">
      <c r="A274" s="369"/>
      <c r="B274" s="380"/>
      <c r="C274" s="6" t="s">
        <v>191</v>
      </c>
      <c r="D274" s="44">
        <v>6130.8</v>
      </c>
      <c r="E274" s="17" t="s">
        <v>14</v>
      </c>
      <c r="F274" s="44"/>
      <c r="G274" s="49">
        <f>D274-F274</f>
        <v>6130.8</v>
      </c>
    </row>
    <row r="275" spans="1:7" ht="94.5">
      <c r="A275" s="369"/>
      <c r="B275" s="380"/>
      <c r="C275" s="42" t="s">
        <v>192</v>
      </c>
      <c r="D275" s="44">
        <v>25742.35</v>
      </c>
      <c r="E275" s="17" t="s">
        <v>16</v>
      </c>
      <c r="F275" s="44"/>
      <c r="G275" s="49">
        <f>D275-F275</f>
        <v>25742.35</v>
      </c>
    </row>
    <row r="276" spans="1:7" ht="15.75">
      <c r="A276" s="369"/>
      <c r="B276" s="35" t="s">
        <v>9</v>
      </c>
      <c r="C276" s="36"/>
      <c r="D276" s="37">
        <f>SUM(D272:D275)</f>
        <v>59773.15</v>
      </c>
      <c r="E276" s="37">
        <f>SUM(E272:E275)</f>
        <v>0</v>
      </c>
      <c r="F276" s="37">
        <f>SUM(F272:F275)</f>
        <v>0</v>
      </c>
      <c r="G276" s="37">
        <f>SUM(G272:G275)</f>
        <v>59773.15</v>
      </c>
    </row>
    <row r="277" spans="1:7" ht="47.25">
      <c r="A277" s="364">
        <v>56</v>
      </c>
      <c r="B277" s="364" t="s">
        <v>193</v>
      </c>
      <c r="C277" s="6" t="s">
        <v>267</v>
      </c>
      <c r="D277" s="58">
        <v>27304.43</v>
      </c>
      <c r="E277" s="24" t="s">
        <v>194</v>
      </c>
      <c r="F277" s="80"/>
      <c r="G277" s="80">
        <f>D277-F277</f>
        <v>27304.43</v>
      </c>
    </row>
    <row r="278" spans="1:7" ht="47.25">
      <c r="A278" s="364"/>
      <c r="B278" s="364"/>
      <c r="C278" s="6" t="s">
        <v>195</v>
      </c>
      <c r="D278" s="58">
        <v>1762.2</v>
      </c>
      <c r="E278" s="21" t="s">
        <v>14</v>
      </c>
      <c r="F278" s="80"/>
      <c r="G278" s="80">
        <f>D278-F278</f>
        <v>1762.2</v>
      </c>
    </row>
    <row r="279" spans="1:7" ht="78.75">
      <c r="A279" s="364"/>
      <c r="B279" s="364"/>
      <c r="C279" s="6" t="s">
        <v>196</v>
      </c>
      <c r="D279" s="58">
        <v>3233.17</v>
      </c>
      <c r="E279" s="21" t="s">
        <v>16</v>
      </c>
      <c r="F279" s="80"/>
      <c r="G279" s="80">
        <f>D279-F279</f>
        <v>3233.17</v>
      </c>
    </row>
    <row r="280" spans="1:7" ht="15.75">
      <c r="A280" s="364"/>
      <c r="B280" s="19" t="s">
        <v>9</v>
      </c>
      <c r="C280" s="22"/>
      <c r="D280" s="56">
        <f>SUM(D277:D279)</f>
        <v>32299.800000000003</v>
      </c>
      <c r="E280" s="22"/>
      <c r="F280" s="56">
        <f>SUM(F277:F279)</f>
        <v>0</v>
      </c>
      <c r="G280" s="56">
        <f>SUM(G277:G279)</f>
        <v>32299.800000000003</v>
      </c>
    </row>
    <row r="281" spans="1:7" ht="31.5">
      <c r="A281" s="364">
        <v>57</v>
      </c>
      <c r="B281" s="364" t="s">
        <v>197</v>
      </c>
      <c r="C281" s="6" t="s">
        <v>198</v>
      </c>
      <c r="D281" s="58">
        <v>500</v>
      </c>
      <c r="E281" s="21" t="s">
        <v>14</v>
      </c>
      <c r="F281" s="80"/>
      <c r="G281" s="80">
        <f>D281-F281</f>
        <v>500</v>
      </c>
    </row>
    <row r="282" spans="1:7" ht="78.75">
      <c r="A282" s="364"/>
      <c r="B282" s="364"/>
      <c r="C282" s="6" t="s">
        <v>199</v>
      </c>
      <c r="D282" s="58">
        <v>12964.39</v>
      </c>
      <c r="E282" s="21" t="s">
        <v>16</v>
      </c>
      <c r="F282" s="80"/>
      <c r="G282" s="80">
        <f>D282-F282</f>
        <v>12964.39</v>
      </c>
    </row>
    <row r="283" spans="1:7" ht="15.75">
      <c r="A283" s="364"/>
      <c r="B283" s="19" t="s">
        <v>9</v>
      </c>
      <c r="C283" s="22"/>
      <c r="D283" s="60">
        <f>SUM(D281:D282)</f>
        <v>13464.39</v>
      </c>
      <c r="E283" s="22"/>
      <c r="F283" s="56">
        <f>SUM(F281:F282)</f>
        <v>0</v>
      </c>
      <c r="G283" s="56">
        <f>SUM(G281:G282)</f>
        <v>13464.39</v>
      </c>
    </row>
    <row r="284" spans="1:7" ht="31.5">
      <c r="A284" s="364">
        <v>58</v>
      </c>
      <c r="B284" s="364" t="s">
        <v>200</v>
      </c>
      <c r="C284" s="6" t="s">
        <v>201</v>
      </c>
      <c r="D284" s="58">
        <v>19500</v>
      </c>
      <c r="E284" s="21" t="s">
        <v>14</v>
      </c>
      <c r="F284" s="80"/>
      <c r="G284" s="80">
        <f>D284-F284</f>
        <v>19500</v>
      </c>
    </row>
    <row r="285" spans="1:7" ht="47.25">
      <c r="A285" s="364"/>
      <c r="B285" s="364"/>
      <c r="C285" s="6" t="s">
        <v>202</v>
      </c>
      <c r="D285" s="58">
        <v>1317.6</v>
      </c>
      <c r="E285" s="21" t="s">
        <v>14</v>
      </c>
      <c r="F285" s="80"/>
      <c r="G285" s="80">
        <f>D285-F285</f>
        <v>1317.6</v>
      </c>
    </row>
    <row r="286" spans="1:7" ht="63">
      <c r="A286" s="364"/>
      <c r="B286" s="364"/>
      <c r="C286" s="6" t="s">
        <v>203</v>
      </c>
      <c r="D286" s="58">
        <v>9851.51</v>
      </c>
      <c r="E286" s="21" t="s">
        <v>14</v>
      </c>
      <c r="F286" s="80"/>
      <c r="G286" s="80">
        <f>D286-F286</f>
        <v>9851.51</v>
      </c>
    </row>
    <row r="287" spans="1:7" ht="15.75">
      <c r="A287" s="364"/>
      <c r="B287" s="19" t="s">
        <v>9</v>
      </c>
      <c r="C287" s="22"/>
      <c r="D287" s="60">
        <f>SUM(D284:D286)</f>
        <v>30669.11</v>
      </c>
      <c r="E287" s="22"/>
      <c r="F287" s="56">
        <f>SUM(F284:F286)</f>
        <v>0</v>
      </c>
      <c r="G287" s="56">
        <f>SUM(G284:G286)</f>
        <v>30669.11</v>
      </c>
    </row>
    <row r="288" spans="1:7" ht="47.25">
      <c r="A288" s="364">
        <v>59</v>
      </c>
      <c r="B288" s="364" t="s">
        <v>204</v>
      </c>
      <c r="C288" s="6" t="s">
        <v>205</v>
      </c>
      <c r="D288" s="58">
        <v>11496.6</v>
      </c>
      <c r="E288" s="24" t="s">
        <v>76</v>
      </c>
      <c r="F288" s="80"/>
      <c r="G288" s="80">
        <f>D288-F288</f>
        <v>11496.6</v>
      </c>
    </row>
    <row r="289" spans="1:7" ht="31.5">
      <c r="A289" s="364"/>
      <c r="B289" s="364"/>
      <c r="C289" s="6" t="s">
        <v>206</v>
      </c>
      <c r="D289" s="58">
        <v>988.2</v>
      </c>
      <c r="E289" s="21" t="s">
        <v>14</v>
      </c>
      <c r="F289" s="80"/>
      <c r="G289" s="80">
        <f>D289-F289</f>
        <v>988.2</v>
      </c>
    </row>
    <row r="290" spans="1:7" ht="31.5">
      <c r="A290" s="364"/>
      <c r="B290" s="364"/>
      <c r="C290" s="6" t="s">
        <v>269</v>
      </c>
      <c r="D290" s="58">
        <v>6500</v>
      </c>
      <c r="E290" s="21" t="s">
        <v>14</v>
      </c>
      <c r="F290" s="80"/>
      <c r="G290" s="80">
        <f>D290-F290</f>
        <v>6500</v>
      </c>
    </row>
    <row r="291" spans="1:7" ht="63">
      <c r="A291" s="364"/>
      <c r="B291" s="364"/>
      <c r="C291" s="6" t="s">
        <v>208</v>
      </c>
      <c r="D291" s="58">
        <v>5054.81</v>
      </c>
      <c r="E291" s="21" t="s">
        <v>16</v>
      </c>
      <c r="F291" s="80"/>
      <c r="G291" s="80">
        <f>D291-F291</f>
        <v>5054.81</v>
      </c>
    </row>
    <row r="292" spans="1:7" ht="15.75">
      <c r="A292" s="364"/>
      <c r="B292" s="19" t="s">
        <v>9</v>
      </c>
      <c r="C292" s="22"/>
      <c r="D292" s="60">
        <f>SUM(D288:D291)</f>
        <v>24039.610000000004</v>
      </c>
      <c r="E292" s="22"/>
      <c r="F292" s="56">
        <f>SUM(F288:F291)</f>
        <v>0</v>
      </c>
      <c r="G292" s="56">
        <f>SUM(G288:G291)</f>
        <v>24039.610000000004</v>
      </c>
    </row>
    <row r="293" spans="1:7" ht="47.25">
      <c r="A293" s="364">
        <v>60</v>
      </c>
      <c r="B293" s="364" t="s">
        <v>209</v>
      </c>
      <c r="C293" s="24" t="s">
        <v>210</v>
      </c>
      <c r="D293" s="58">
        <v>189</v>
      </c>
      <c r="E293" s="24" t="s">
        <v>211</v>
      </c>
      <c r="F293" s="80"/>
      <c r="G293" s="90">
        <f>D293-F293</f>
        <v>189</v>
      </c>
    </row>
    <row r="294" spans="1:7" ht="47.25">
      <c r="A294" s="364"/>
      <c r="B294" s="364"/>
      <c r="C294" s="24" t="s">
        <v>212</v>
      </c>
      <c r="D294" s="58">
        <v>8591.73</v>
      </c>
      <c r="E294" s="24" t="s">
        <v>213</v>
      </c>
      <c r="F294" s="81"/>
      <c r="G294" s="80">
        <f>D294-F294</f>
        <v>8591.73</v>
      </c>
    </row>
    <row r="295" spans="1:7" ht="15.75">
      <c r="A295" s="364"/>
      <c r="B295" s="19" t="s">
        <v>9</v>
      </c>
      <c r="C295" s="22"/>
      <c r="D295" s="60">
        <f>SUM(D293:D294)</f>
        <v>8780.73</v>
      </c>
      <c r="E295" s="22"/>
      <c r="F295" s="73">
        <f>SUM(F293:F294)</f>
        <v>0</v>
      </c>
      <c r="G295" s="56">
        <f>SUM(G293:G294)</f>
        <v>8780.73</v>
      </c>
    </row>
    <row r="296" spans="1:7" ht="47.25">
      <c r="A296" s="364">
        <v>61</v>
      </c>
      <c r="B296" s="364" t="s">
        <v>214</v>
      </c>
      <c r="C296" s="6" t="s">
        <v>215</v>
      </c>
      <c r="D296" s="58">
        <v>11496.6</v>
      </c>
      <c r="E296" s="24" t="s">
        <v>76</v>
      </c>
      <c r="F296" s="80"/>
      <c r="G296" s="80">
        <f>D296-F296</f>
        <v>11496.6</v>
      </c>
    </row>
    <row r="297" spans="1:7" ht="47.25">
      <c r="A297" s="364"/>
      <c r="B297" s="364"/>
      <c r="C297" s="24" t="s">
        <v>210</v>
      </c>
      <c r="D297" s="58">
        <v>189</v>
      </c>
      <c r="E297" s="24" t="s">
        <v>211</v>
      </c>
      <c r="F297" s="80"/>
      <c r="G297" s="90">
        <f>D297-F297</f>
        <v>189</v>
      </c>
    </row>
    <row r="298" spans="1:7" ht="47.25">
      <c r="A298" s="364"/>
      <c r="B298" s="364"/>
      <c r="C298" s="24" t="s">
        <v>212</v>
      </c>
      <c r="D298" s="58">
        <v>8311</v>
      </c>
      <c r="E298" s="24" t="s">
        <v>213</v>
      </c>
      <c r="F298" s="80"/>
      <c r="G298" s="80">
        <f>D298-F298</f>
        <v>8311</v>
      </c>
    </row>
    <row r="299" spans="1:7" ht="31.5">
      <c r="A299" s="364"/>
      <c r="B299" s="364"/>
      <c r="C299" s="24" t="s">
        <v>207</v>
      </c>
      <c r="D299" s="58">
        <v>5000</v>
      </c>
      <c r="E299" s="21" t="s">
        <v>14</v>
      </c>
      <c r="F299" s="80"/>
      <c r="G299" s="80">
        <f>D299-F299</f>
        <v>5000</v>
      </c>
    </row>
    <row r="300" spans="1:7" ht="78.75">
      <c r="A300" s="364"/>
      <c r="B300" s="364"/>
      <c r="C300" s="6" t="s">
        <v>216</v>
      </c>
      <c r="D300" s="58">
        <v>303.88</v>
      </c>
      <c r="E300" s="21" t="s">
        <v>16</v>
      </c>
      <c r="F300" s="80"/>
      <c r="G300" s="80">
        <f>D300-F300</f>
        <v>303.88</v>
      </c>
    </row>
    <row r="301" spans="1:7" ht="15.75">
      <c r="A301" s="364"/>
      <c r="B301" s="19" t="s">
        <v>9</v>
      </c>
      <c r="C301" s="22"/>
      <c r="D301" s="60">
        <f>SUM(D296:D300)</f>
        <v>25300.48</v>
      </c>
      <c r="E301" s="22"/>
      <c r="F301" s="56">
        <f>SUM(F296:F300)</f>
        <v>0</v>
      </c>
      <c r="G301" s="56">
        <f>SUM(G296:G300)</f>
        <v>25300.48</v>
      </c>
    </row>
    <row r="302" spans="1:7" ht="15.75">
      <c r="A302" s="364">
        <v>62</v>
      </c>
      <c r="B302" s="364" t="s">
        <v>217</v>
      </c>
      <c r="C302" s="6" t="s">
        <v>218</v>
      </c>
      <c r="D302" s="58">
        <v>10000</v>
      </c>
      <c r="E302" s="21" t="s">
        <v>14</v>
      </c>
      <c r="F302" s="80"/>
      <c r="G302" s="80">
        <f>D302-F302</f>
        <v>10000</v>
      </c>
    </row>
    <row r="303" spans="1:7" ht="31.5">
      <c r="A303" s="364"/>
      <c r="B303" s="364"/>
      <c r="C303" s="6" t="s">
        <v>219</v>
      </c>
      <c r="D303" s="58">
        <v>900</v>
      </c>
      <c r="E303" s="21" t="s">
        <v>13</v>
      </c>
      <c r="F303" s="80"/>
      <c r="G303" s="80">
        <f>D303-F303</f>
        <v>900</v>
      </c>
    </row>
    <row r="304" spans="1:7" ht="31.5">
      <c r="A304" s="364"/>
      <c r="B304" s="364"/>
      <c r="C304" s="6" t="s">
        <v>220</v>
      </c>
      <c r="D304" s="58">
        <v>6500</v>
      </c>
      <c r="E304" s="21" t="s">
        <v>14</v>
      </c>
      <c r="F304" s="80"/>
      <c r="G304" s="80">
        <f>D304-F304</f>
        <v>6500</v>
      </c>
    </row>
    <row r="305" spans="1:7" ht="94.5">
      <c r="A305" s="364"/>
      <c r="B305" s="364"/>
      <c r="C305" s="6" t="s">
        <v>221</v>
      </c>
      <c r="D305" s="58">
        <v>1617.776</v>
      </c>
      <c r="E305" s="21" t="s">
        <v>16</v>
      </c>
      <c r="F305" s="80">
        <v>880.09</v>
      </c>
      <c r="G305" s="80">
        <f>D305-F305</f>
        <v>737.686</v>
      </c>
    </row>
    <row r="306" spans="1:7" ht="15.75">
      <c r="A306" s="364"/>
      <c r="B306" s="19" t="s">
        <v>9</v>
      </c>
      <c r="C306" s="22"/>
      <c r="D306" s="60">
        <f>SUM(D302:D305)</f>
        <v>19017.776</v>
      </c>
      <c r="E306" s="22"/>
      <c r="F306" s="56">
        <f>SUM(F302:F305)</f>
        <v>880.09</v>
      </c>
      <c r="G306" s="56">
        <f>SUM(G302:G303)</f>
        <v>10900</v>
      </c>
    </row>
    <row r="307" spans="1:7" ht="31.5">
      <c r="A307" s="364">
        <v>63</v>
      </c>
      <c r="B307" s="365" t="s">
        <v>222</v>
      </c>
      <c r="C307" s="6" t="s">
        <v>223</v>
      </c>
      <c r="D307" s="58">
        <v>988.2</v>
      </c>
      <c r="E307" s="21" t="s">
        <v>14</v>
      </c>
      <c r="F307" s="80"/>
      <c r="G307" s="80">
        <f>D307-F307</f>
        <v>988.2</v>
      </c>
    </row>
    <row r="308" spans="1:7" ht="63">
      <c r="A308" s="364"/>
      <c r="B308" s="365"/>
      <c r="C308" s="6" t="s">
        <v>224</v>
      </c>
      <c r="D308" s="58">
        <v>7500</v>
      </c>
      <c r="E308" s="21" t="s">
        <v>14</v>
      </c>
      <c r="F308" s="72"/>
      <c r="G308" s="80">
        <f>D308-F308</f>
        <v>7500</v>
      </c>
    </row>
    <row r="309" spans="1:7" ht="31.5">
      <c r="A309" s="364"/>
      <c r="B309" s="365"/>
      <c r="C309" s="6" t="s">
        <v>220</v>
      </c>
      <c r="D309" s="58">
        <v>6000</v>
      </c>
      <c r="E309" s="21" t="s">
        <v>14</v>
      </c>
      <c r="F309" s="80"/>
      <c r="G309" s="80">
        <f>D309-F309</f>
        <v>6000</v>
      </c>
    </row>
    <row r="310" spans="1:7" ht="78.75">
      <c r="A310" s="364"/>
      <c r="B310" s="365"/>
      <c r="C310" s="6" t="s">
        <v>216</v>
      </c>
      <c r="D310" s="58">
        <v>93.86</v>
      </c>
      <c r="E310" s="21" t="s">
        <v>16</v>
      </c>
      <c r="F310" s="80"/>
      <c r="G310" s="80">
        <f>D310-F310</f>
        <v>93.86</v>
      </c>
    </row>
    <row r="311" spans="1:7" ht="15.75">
      <c r="A311" s="364"/>
      <c r="B311" s="19" t="s">
        <v>9</v>
      </c>
      <c r="C311" s="22"/>
      <c r="D311" s="60">
        <f>SUM(D307:D310)</f>
        <v>14582.060000000001</v>
      </c>
      <c r="E311" s="22"/>
      <c r="F311" s="73">
        <f>SUM(F307:F310)</f>
        <v>0</v>
      </c>
      <c r="G311" s="56">
        <f>SUM(G307:G310)</f>
        <v>14582.060000000001</v>
      </c>
    </row>
    <row r="312" spans="1:7" ht="31.5">
      <c r="A312" s="364">
        <v>64</v>
      </c>
      <c r="B312" s="365" t="s">
        <v>225</v>
      </c>
      <c r="C312" s="6" t="s">
        <v>226</v>
      </c>
      <c r="D312" s="58">
        <v>10000</v>
      </c>
      <c r="E312" s="21" t="s">
        <v>13</v>
      </c>
      <c r="F312" s="74"/>
      <c r="G312" s="80">
        <f>D312-F312</f>
        <v>10000</v>
      </c>
    </row>
    <row r="313" spans="1:7" ht="47.25">
      <c r="A313" s="364"/>
      <c r="B313" s="365"/>
      <c r="C313" s="6" t="s">
        <v>227</v>
      </c>
      <c r="D313" s="58">
        <v>4000</v>
      </c>
      <c r="E313" s="21" t="s">
        <v>13</v>
      </c>
      <c r="F313" s="82"/>
      <c r="G313" s="80">
        <f>D313-F313</f>
        <v>4000</v>
      </c>
    </row>
    <row r="314" spans="1:7" ht="31.5">
      <c r="A314" s="364"/>
      <c r="B314" s="365"/>
      <c r="C314" s="6" t="s">
        <v>220</v>
      </c>
      <c r="D314" s="58">
        <v>6500</v>
      </c>
      <c r="E314" s="21" t="s">
        <v>14</v>
      </c>
      <c r="F314" s="83"/>
      <c r="G314" s="80">
        <f>D314-F314</f>
        <v>6500</v>
      </c>
    </row>
    <row r="315" spans="1:7" ht="110.25">
      <c r="A315" s="364"/>
      <c r="B315" s="365"/>
      <c r="C315" s="6" t="s">
        <v>228</v>
      </c>
      <c r="D315" s="58">
        <v>1068.73</v>
      </c>
      <c r="E315" s="21" t="s">
        <v>16</v>
      </c>
      <c r="F315" s="83"/>
      <c r="G315" s="80">
        <f>D315-F315</f>
        <v>1068.73</v>
      </c>
    </row>
    <row r="316" spans="1:7" ht="15.75">
      <c r="A316" s="366"/>
      <c r="B316" s="94" t="s">
        <v>9</v>
      </c>
      <c r="C316" s="97"/>
      <c r="D316" s="124">
        <f>SUM(D312:D315)</f>
        <v>21568.73</v>
      </c>
      <c r="E316" s="97"/>
      <c r="F316" s="96">
        <f>SUM(F312:F315)</f>
        <v>0</v>
      </c>
      <c r="G316" s="96">
        <f>SUM(G312:G315)</f>
        <v>21568.73</v>
      </c>
    </row>
    <row r="317" spans="1:7" ht="15.75">
      <c r="A317" s="165"/>
      <c r="B317" s="114"/>
      <c r="C317" s="117"/>
      <c r="D317" s="137"/>
      <c r="E317" s="117"/>
      <c r="F317" s="116"/>
      <c r="G317" s="116"/>
    </row>
    <row r="318" spans="1:7" ht="15.75">
      <c r="A318" s="164"/>
      <c r="B318" s="101"/>
      <c r="C318" s="103"/>
      <c r="D318" s="133"/>
      <c r="E318" s="103"/>
      <c r="F318" s="102"/>
      <c r="G318" s="102"/>
    </row>
    <row r="319" spans="1:7" ht="15.75">
      <c r="A319" s="164"/>
      <c r="B319" s="101"/>
      <c r="C319" s="103"/>
      <c r="D319" s="133"/>
      <c r="E319" s="103"/>
      <c r="F319" s="102"/>
      <c r="G319" s="102"/>
    </row>
    <row r="320" spans="1:7" ht="15.75">
      <c r="A320" s="166"/>
      <c r="B320" s="119"/>
      <c r="C320" s="122"/>
      <c r="D320" s="141"/>
      <c r="E320" s="122"/>
      <c r="F320" s="121"/>
      <c r="G320" s="121"/>
    </row>
    <row r="321" spans="1:7" ht="31.5">
      <c r="A321" s="363">
        <v>65</v>
      </c>
      <c r="B321" s="363" t="s">
        <v>229</v>
      </c>
      <c r="C321" s="110" t="s">
        <v>230</v>
      </c>
      <c r="D321" s="160">
        <v>9000</v>
      </c>
      <c r="E321" s="161" t="s">
        <v>13</v>
      </c>
      <c r="F321" s="162"/>
      <c r="G321" s="163">
        <f>D321-F321</f>
        <v>9000</v>
      </c>
    </row>
    <row r="322" spans="1:7" ht="63">
      <c r="A322" s="364"/>
      <c r="B322" s="364"/>
      <c r="C322" s="6" t="s">
        <v>265</v>
      </c>
      <c r="D322" s="40">
        <v>7958.6</v>
      </c>
      <c r="E322" s="21" t="s">
        <v>14</v>
      </c>
      <c r="F322" s="84"/>
      <c r="G322" s="80">
        <f>D322-F322</f>
        <v>7958.6</v>
      </c>
    </row>
    <row r="323" spans="1:7" ht="78.75">
      <c r="A323" s="364"/>
      <c r="B323" s="364"/>
      <c r="C323" s="6" t="s">
        <v>231</v>
      </c>
      <c r="D323" s="40">
        <v>23341.81</v>
      </c>
      <c r="E323" s="21" t="s">
        <v>16</v>
      </c>
      <c r="F323" s="80"/>
      <c r="G323" s="80">
        <f>D323-F323</f>
        <v>23341.81</v>
      </c>
    </row>
    <row r="324" spans="1:7" ht="15.75">
      <c r="A324" s="364"/>
      <c r="B324" s="19" t="s">
        <v>9</v>
      </c>
      <c r="C324" s="22"/>
      <c r="D324" s="60">
        <f>SUM(D321:D323)</f>
        <v>40300.41</v>
      </c>
      <c r="E324" s="22"/>
      <c r="F324" s="56">
        <f>SUM(F321:F323)</f>
        <v>0</v>
      </c>
      <c r="G324" s="56">
        <f>SUM(G321:G323)</f>
        <v>40300.41</v>
      </c>
    </row>
    <row r="325" spans="1:7" ht="47.25">
      <c r="A325" s="364">
        <v>66</v>
      </c>
      <c r="B325" s="365" t="s">
        <v>232</v>
      </c>
      <c r="C325" s="6" t="s">
        <v>233</v>
      </c>
      <c r="D325" s="58">
        <v>19161</v>
      </c>
      <c r="E325" s="24" t="s">
        <v>76</v>
      </c>
      <c r="F325" s="72"/>
      <c r="G325" s="80">
        <f>D325-F325</f>
        <v>19161</v>
      </c>
    </row>
    <row r="326" spans="1:7" ht="47.25">
      <c r="A326" s="364"/>
      <c r="B326" s="365"/>
      <c r="C326" s="6" t="s">
        <v>234</v>
      </c>
      <c r="D326" s="58">
        <v>800.001792</v>
      </c>
      <c r="E326" s="24" t="s">
        <v>235</v>
      </c>
      <c r="F326" s="80"/>
      <c r="G326" s="80">
        <f>D326-F326</f>
        <v>800.001792</v>
      </c>
    </row>
    <row r="327" spans="1:7" ht="47.25">
      <c r="A327" s="364"/>
      <c r="B327" s="365"/>
      <c r="C327" s="6" t="s">
        <v>236</v>
      </c>
      <c r="D327" s="58">
        <v>17000</v>
      </c>
      <c r="E327" s="24" t="s">
        <v>237</v>
      </c>
      <c r="F327" s="80"/>
      <c r="G327" s="80">
        <f>D327-F327</f>
        <v>17000</v>
      </c>
    </row>
    <row r="328" spans="1:7" ht="78.75">
      <c r="A328" s="364"/>
      <c r="B328" s="365"/>
      <c r="C328" s="6" t="s">
        <v>231</v>
      </c>
      <c r="D328" s="58">
        <v>6647.55</v>
      </c>
      <c r="E328" s="21" t="s">
        <v>16</v>
      </c>
      <c r="F328" s="80"/>
      <c r="G328" s="80">
        <f>D328-F328</f>
        <v>6647.55</v>
      </c>
    </row>
    <row r="329" spans="1:7" ht="15.75">
      <c r="A329" s="364"/>
      <c r="B329" s="19" t="s">
        <v>9</v>
      </c>
      <c r="C329" s="22"/>
      <c r="D329" s="60">
        <f>SUM(D325:D328)</f>
        <v>43608.551792</v>
      </c>
      <c r="E329" s="22"/>
      <c r="F329" s="56">
        <f>SUM(F325:F328)</f>
        <v>0</v>
      </c>
      <c r="G329" s="56">
        <f>SUM(G325:G328)</f>
        <v>43608.551792</v>
      </c>
    </row>
    <row r="330" spans="1:7" ht="63">
      <c r="A330" s="364">
        <v>67</v>
      </c>
      <c r="B330" s="18" t="s">
        <v>238</v>
      </c>
      <c r="C330" s="6" t="s">
        <v>239</v>
      </c>
      <c r="D330" s="58">
        <v>36732</v>
      </c>
      <c r="E330" s="21" t="s">
        <v>16</v>
      </c>
      <c r="F330" s="80"/>
      <c r="G330" s="80">
        <f>D330-F330</f>
        <v>36732</v>
      </c>
    </row>
    <row r="331" spans="1:7" ht="15.75">
      <c r="A331" s="364"/>
      <c r="B331" s="19" t="s">
        <v>9</v>
      </c>
      <c r="C331" s="22"/>
      <c r="D331" s="60">
        <f>SUM(D330:D330)</f>
        <v>36732</v>
      </c>
      <c r="E331" s="22"/>
      <c r="F331" s="56">
        <f>SUM(F330:F330)</f>
        <v>0</v>
      </c>
      <c r="G331" s="56">
        <f>SUM(G330:G330)</f>
        <v>36732</v>
      </c>
    </row>
    <row r="332" spans="1:7" ht="47.25">
      <c r="A332" s="364">
        <v>68</v>
      </c>
      <c r="B332" s="365" t="s">
        <v>240</v>
      </c>
      <c r="C332" s="39" t="s">
        <v>241</v>
      </c>
      <c r="D332" s="58">
        <v>1188</v>
      </c>
      <c r="E332" s="24" t="s">
        <v>242</v>
      </c>
      <c r="F332" s="80"/>
      <c r="G332" s="80">
        <f>D332-F332</f>
        <v>1188</v>
      </c>
    </row>
    <row r="333" spans="1:7" ht="63">
      <c r="A333" s="364"/>
      <c r="B333" s="365"/>
      <c r="C333" s="6" t="s">
        <v>243</v>
      </c>
      <c r="D333" s="58">
        <v>22517.51</v>
      </c>
      <c r="E333" s="21" t="s">
        <v>16</v>
      </c>
      <c r="F333" s="80"/>
      <c r="G333" s="80">
        <f>D333-F333</f>
        <v>22517.51</v>
      </c>
    </row>
    <row r="334" spans="1:7" ht="15.75">
      <c r="A334" s="364"/>
      <c r="B334" s="19" t="s">
        <v>9</v>
      </c>
      <c r="C334" s="22"/>
      <c r="D334" s="60">
        <f>SUM(D332:D333)</f>
        <v>23705.51</v>
      </c>
      <c r="E334" s="22"/>
      <c r="F334" s="56">
        <f>SUM(F332:F333)</f>
        <v>0</v>
      </c>
      <c r="G334" s="56">
        <f>SUM(G332:G333)</f>
        <v>23705.51</v>
      </c>
    </row>
    <row r="335" spans="1:7" ht="78.75">
      <c r="A335" s="364">
        <v>69</v>
      </c>
      <c r="B335" s="365" t="s">
        <v>244</v>
      </c>
      <c r="C335" s="6" t="s">
        <v>245</v>
      </c>
      <c r="D335" s="40">
        <v>500</v>
      </c>
      <c r="E335" s="21" t="s">
        <v>14</v>
      </c>
      <c r="F335" s="80"/>
      <c r="G335" s="80">
        <f>D335-F335</f>
        <v>500</v>
      </c>
    </row>
    <row r="336" spans="1:7" ht="94.5">
      <c r="A336" s="364"/>
      <c r="B336" s="365"/>
      <c r="C336" s="6" t="s">
        <v>246</v>
      </c>
      <c r="D336" s="40">
        <v>3000</v>
      </c>
      <c r="E336" s="21" t="s">
        <v>14</v>
      </c>
      <c r="F336" s="80"/>
      <c r="G336" s="80">
        <f>D336-F336</f>
        <v>3000</v>
      </c>
    </row>
    <row r="337" spans="1:7" ht="78.75">
      <c r="A337" s="364"/>
      <c r="B337" s="365"/>
      <c r="C337" s="6" t="s">
        <v>247</v>
      </c>
      <c r="D337" s="40">
        <v>4795.2</v>
      </c>
      <c r="E337" s="21" t="s">
        <v>14</v>
      </c>
      <c r="F337" s="80"/>
      <c r="G337" s="80">
        <f>D337-F337</f>
        <v>4795.2</v>
      </c>
    </row>
    <row r="338" spans="1:7" ht="47.25">
      <c r="A338" s="364"/>
      <c r="B338" s="365"/>
      <c r="C338" s="6" t="s">
        <v>248</v>
      </c>
      <c r="D338" s="40">
        <v>73591.47</v>
      </c>
      <c r="E338" s="21" t="s">
        <v>14</v>
      </c>
      <c r="F338" s="80"/>
      <c r="G338" s="80">
        <f>D338-F338</f>
        <v>73591.47</v>
      </c>
    </row>
    <row r="339" spans="1:7" ht="78.75">
      <c r="A339" s="364"/>
      <c r="B339" s="365"/>
      <c r="C339" s="6" t="s">
        <v>249</v>
      </c>
      <c r="D339" s="40">
        <v>2200.38</v>
      </c>
      <c r="E339" s="21" t="s">
        <v>16</v>
      </c>
      <c r="F339" s="80"/>
      <c r="G339" s="80">
        <f>D339-F339</f>
        <v>2200.38</v>
      </c>
    </row>
    <row r="340" spans="1:7" ht="15.75">
      <c r="A340" s="366"/>
      <c r="B340" s="94" t="s">
        <v>9</v>
      </c>
      <c r="C340" s="97"/>
      <c r="D340" s="124">
        <f>SUM(D335:D339)</f>
        <v>84087.05</v>
      </c>
      <c r="E340" s="97"/>
      <c r="F340" s="96">
        <f>SUM(F335:F339)</f>
        <v>0</v>
      </c>
      <c r="G340" s="96">
        <f>SUM(G335:G339)</f>
        <v>84087.05</v>
      </c>
    </row>
    <row r="341" spans="1:7" ht="15.75">
      <c r="A341" s="165"/>
      <c r="B341" s="114"/>
      <c r="C341" s="117"/>
      <c r="D341" s="137"/>
      <c r="E341" s="117"/>
      <c r="F341" s="116"/>
      <c r="G341" s="116"/>
    </row>
    <row r="342" spans="1:7" ht="15.75">
      <c r="A342" s="164"/>
      <c r="B342" s="101"/>
      <c r="C342" s="103"/>
      <c r="D342" s="133"/>
      <c r="E342" s="103"/>
      <c r="F342" s="102"/>
      <c r="G342" s="102"/>
    </row>
    <row r="343" spans="1:7" ht="15.75">
      <c r="A343" s="164"/>
      <c r="B343" s="101"/>
      <c r="C343" s="103"/>
      <c r="D343" s="133"/>
      <c r="E343" s="103"/>
      <c r="F343" s="102"/>
      <c r="G343" s="102"/>
    </row>
    <row r="344" spans="1:7" ht="15.75">
      <c r="A344" s="164"/>
      <c r="B344" s="101"/>
      <c r="C344" s="103"/>
      <c r="D344" s="133"/>
      <c r="E344" s="103"/>
      <c r="F344" s="102"/>
      <c r="G344" s="102"/>
    </row>
    <row r="345" spans="1:7" ht="15.75">
      <c r="A345" s="164"/>
      <c r="B345" s="101"/>
      <c r="C345" s="103"/>
      <c r="D345" s="133"/>
      <c r="E345" s="103"/>
      <c r="F345" s="102"/>
      <c r="G345" s="102"/>
    </row>
    <row r="346" spans="1:7" ht="15.75">
      <c r="A346" s="164"/>
      <c r="B346" s="101"/>
      <c r="C346" s="103"/>
      <c r="D346" s="133"/>
      <c r="E346" s="103"/>
      <c r="F346" s="102"/>
      <c r="G346" s="102"/>
    </row>
    <row r="347" spans="1:7" ht="15.75">
      <c r="A347" s="166"/>
      <c r="B347" s="119"/>
      <c r="C347" s="122"/>
      <c r="D347" s="141"/>
      <c r="E347" s="122"/>
      <c r="F347" s="121"/>
      <c r="G347" s="121"/>
    </row>
    <row r="348" spans="1:7" ht="63">
      <c r="A348" s="363">
        <v>70</v>
      </c>
      <c r="B348" s="367" t="s">
        <v>250</v>
      </c>
      <c r="C348" s="110" t="s">
        <v>266</v>
      </c>
      <c r="D348" s="167">
        <v>8438.4</v>
      </c>
      <c r="E348" s="161" t="s">
        <v>14</v>
      </c>
      <c r="F348" s="162"/>
      <c r="G348" s="163">
        <f>D348-F348</f>
        <v>8438.4</v>
      </c>
    </row>
    <row r="349" spans="1:7" ht="31.5">
      <c r="A349" s="364"/>
      <c r="B349" s="365"/>
      <c r="C349" s="6" t="s">
        <v>251</v>
      </c>
      <c r="D349" s="58">
        <v>5000</v>
      </c>
      <c r="E349" s="21" t="s">
        <v>14</v>
      </c>
      <c r="F349" s="85"/>
      <c r="G349" s="80">
        <f>D349-F349</f>
        <v>5000</v>
      </c>
    </row>
    <row r="350" spans="1:7" ht="47.25">
      <c r="A350" s="364"/>
      <c r="B350" s="365"/>
      <c r="C350" s="6" t="s">
        <v>252</v>
      </c>
      <c r="D350" s="58">
        <v>864</v>
      </c>
      <c r="E350" s="24" t="s">
        <v>237</v>
      </c>
      <c r="F350" s="84"/>
      <c r="G350" s="80">
        <f>D350-F350</f>
        <v>864</v>
      </c>
    </row>
    <row r="351" spans="1:7" ht="78.75">
      <c r="A351" s="364"/>
      <c r="B351" s="365"/>
      <c r="C351" s="6" t="s">
        <v>216</v>
      </c>
      <c r="D351" s="58">
        <v>8369.25</v>
      </c>
      <c r="E351" s="21" t="s">
        <v>16</v>
      </c>
      <c r="F351" s="86">
        <f>4231.85+281.62</f>
        <v>4513.47</v>
      </c>
      <c r="G351" s="80">
        <f>D351-F351</f>
        <v>3855.7799999999997</v>
      </c>
    </row>
    <row r="352" spans="1:7" ht="15.75">
      <c r="A352" s="364"/>
      <c r="B352" s="19" t="s">
        <v>9</v>
      </c>
      <c r="C352" s="22"/>
      <c r="D352" s="60">
        <f>SUM(D348:D351)</f>
        <v>22671.65</v>
      </c>
      <c r="E352" s="22"/>
      <c r="F352" s="56">
        <f>SUM(F348:F351)</f>
        <v>4513.47</v>
      </c>
      <c r="G352" s="56">
        <f>SUM(G348:G351)</f>
        <v>18158.18</v>
      </c>
    </row>
    <row r="353" spans="1:7" ht="47.25">
      <c r="A353" s="364">
        <v>71</v>
      </c>
      <c r="B353" s="365" t="s">
        <v>253</v>
      </c>
      <c r="C353" s="6" t="s">
        <v>254</v>
      </c>
      <c r="D353" s="58">
        <v>790419.16</v>
      </c>
      <c r="E353" s="21" t="s">
        <v>13</v>
      </c>
      <c r="F353" s="80">
        <f>523.24+599.84+240.08+299.38</f>
        <v>1662.54</v>
      </c>
      <c r="G353" s="80">
        <f>D353-F353</f>
        <v>788756.62</v>
      </c>
    </row>
    <row r="354" spans="1:7" ht="31.5">
      <c r="A354" s="364"/>
      <c r="B354" s="365"/>
      <c r="C354" s="6" t="s">
        <v>255</v>
      </c>
      <c r="D354" s="58">
        <v>16740</v>
      </c>
      <c r="E354" s="24" t="s">
        <v>256</v>
      </c>
      <c r="F354" s="80"/>
      <c r="G354" s="80">
        <f>D354-F354</f>
        <v>16740</v>
      </c>
    </row>
    <row r="355" spans="1:7" ht="78.75">
      <c r="A355" s="364"/>
      <c r="B355" s="365"/>
      <c r="C355" s="6" t="s">
        <v>257</v>
      </c>
      <c r="D355" s="58">
        <v>3000</v>
      </c>
      <c r="E355" s="24" t="s">
        <v>258</v>
      </c>
      <c r="F355" s="80"/>
      <c r="G355" s="80">
        <f>D355-F355</f>
        <v>3000</v>
      </c>
    </row>
    <row r="356" spans="1:7" ht="31.5">
      <c r="A356" s="364"/>
      <c r="B356" s="365"/>
      <c r="C356" s="6" t="s">
        <v>259</v>
      </c>
      <c r="D356" s="58">
        <v>11000</v>
      </c>
      <c r="E356" s="21" t="s">
        <v>13</v>
      </c>
      <c r="F356" s="80"/>
      <c r="G356" s="80">
        <f>D356-F356</f>
        <v>11000</v>
      </c>
    </row>
    <row r="357" spans="1:7" ht="63">
      <c r="A357" s="364"/>
      <c r="B357" s="365"/>
      <c r="C357" s="6" t="s">
        <v>260</v>
      </c>
      <c r="D357" s="58">
        <v>40000</v>
      </c>
      <c r="E357" s="21" t="s">
        <v>13</v>
      </c>
      <c r="F357" s="80"/>
      <c r="G357" s="80">
        <f>D357-F357</f>
        <v>40000</v>
      </c>
    </row>
    <row r="358" spans="1:7" ht="15.75">
      <c r="A358" s="364"/>
      <c r="B358" s="19" t="s">
        <v>9</v>
      </c>
      <c r="C358" s="22"/>
      <c r="D358" s="60">
        <f>SUM(D353:D357)</f>
        <v>861159.16</v>
      </c>
      <c r="E358" s="22"/>
      <c r="F358" s="56">
        <f>SUM(F353:F357)</f>
        <v>1662.54</v>
      </c>
      <c r="G358" s="56">
        <f>SUM(G353:G357)</f>
        <v>859496.62</v>
      </c>
    </row>
    <row r="359" spans="1:7" ht="15.75">
      <c r="A359" s="364">
        <v>72</v>
      </c>
      <c r="B359" s="365" t="s">
        <v>261</v>
      </c>
      <c r="C359" s="6" t="s">
        <v>262</v>
      </c>
      <c r="D359" s="58">
        <v>12000</v>
      </c>
      <c r="E359" s="21" t="s">
        <v>13</v>
      </c>
      <c r="F359" s="80"/>
      <c r="G359" s="80">
        <f>D359-F359</f>
        <v>12000</v>
      </c>
    </row>
    <row r="360" spans="1:7" ht="78.75">
      <c r="A360" s="364"/>
      <c r="B360" s="365"/>
      <c r="C360" s="6" t="s">
        <v>263</v>
      </c>
      <c r="D360" s="58">
        <v>3045.57</v>
      </c>
      <c r="E360" s="21" t="s">
        <v>13</v>
      </c>
      <c r="F360" s="85"/>
      <c r="G360" s="80">
        <f>D360-F360</f>
        <v>3045.57</v>
      </c>
    </row>
    <row r="361" spans="1:7" ht="15.75">
      <c r="A361" s="364"/>
      <c r="B361" s="19" t="s">
        <v>9</v>
      </c>
      <c r="C361" s="22"/>
      <c r="D361" s="60">
        <f>SUM(D359:D360)</f>
        <v>15045.57</v>
      </c>
      <c r="E361" s="22"/>
      <c r="F361" s="56"/>
      <c r="G361" s="56">
        <f>SUM(G359:G360)</f>
        <v>15045.57</v>
      </c>
    </row>
    <row r="362" spans="1:7" ht="16.5">
      <c r="A362" s="368" t="s">
        <v>264</v>
      </c>
      <c r="B362" s="368"/>
      <c r="C362" s="368"/>
      <c r="D362" s="91">
        <f>D361+D358+D352+D340+D334+D331+D329+D324+D316+D311+D306+D301+D295+D292+D287+D283+D280+D276+D271+D268+D254+D247+D240+D235+D229+D222+D219+D216+D212+D208+D205+D200++D196+D192+D188+D183+D179+D175+D170+D166+D160+D156+D152+D147+D141+D138+D133+D128+D124+D119+D115+D110+D102+D97+D92+D88+D83+D78+D69+D62+D56+D51+D47+D42+D37+D33+D29+D24+D19+D14+D9</f>
        <v>3940302.568524638</v>
      </c>
      <c r="E362" s="92">
        <f>E361+E358+E352+E340+E334+E331+E329+E324+E316+E311+E306+E301+E295+E292+E287+E283+E280+E276+E271+E268+E254+E247+E240+E235+E229+E222+E219+E216+E212+E208+E205+E200++E196+E192+E188+E183+E179+E175+E170+E166+E160+E156+E152+E147+E141+E138+E133+E128+E124+E119+E115+E110+E102+E97+E92+E88+E83+E78+E69+E62+E56+E51+E47+E42+E37+E33+E29+E24+E19+E14+E9</f>
        <v>0</v>
      </c>
      <c r="F362" s="91">
        <f>F361+F358+F352+F340+F334+F331+F329+F324+F316+F311+F306+F301+F295+F292+F287+F283+F280+F276+F271+F268+F254+F247+F240+F235+F229+F222+F219+F216+F212+F208+F205+F200++F196+F192+F188+F183+F179+F175+F170+F166+F160+F156+F152+F147+F141+F138+F133+F128+F124+F119+F115+F110+F102+F97+F92+F88+F83+F78+F69+F62+F56+F51+F47+F42+F37+F33+F29+F24+F19+F14+F9</f>
        <v>36380.17</v>
      </c>
      <c r="G362" s="91">
        <f>G361+G358+G352+G340+G334+G331+G329+G324+G316+G311+G306+G301+G295+G292+G287+G283+G280+G276+G271+G268+G254+G247+G240+G235+G229+G222+G219+G216+G212+G208+G205+G200++G196+G192+G188+G183+G179+G175+G170+G166+G160+G156+G152+G147+G141+G138+G133+G128+G124+G119+G115+G110+G102+G97+G92+G88+G83+G78+G69+G62+G56+G51+G47+G42+G37+G33+G29+G24+G19+G14+G9</f>
        <v>3892603.6025246386</v>
      </c>
    </row>
  </sheetData>
  <sheetProtection/>
  <mergeCells count="146">
    <mergeCell ref="A272:A276"/>
    <mergeCell ref="B272:B275"/>
    <mergeCell ref="A255:A260"/>
    <mergeCell ref="B255:B259"/>
    <mergeCell ref="A269:A271"/>
    <mergeCell ref="B269:B270"/>
    <mergeCell ref="A264:A268"/>
    <mergeCell ref="B264:B267"/>
    <mergeCell ref="A248:A254"/>
    <mergeCell ref="B248:B253"/>
    <mergeCell ref="A230:A235"/>
    <mergeCell ref="B230:B234"/>
    <mergeCell ref="A236:A240"/>
    <mergeCell ref="B236:B239"/>
    <mergeCell ref="A241:A247"/>
    <mergeCell ref="B241:B246"/>
    <mergeCell ref="A213:A216"/>
    <mergeCell ref="B213:B215"/>
    <mergeCell ref="A217:A219"/>
    <mergeCell ref="B217:B218"/>
    <mergeCell ref="A223:A229"/>
    <mergeCell ref="B223:B228"/>
    <mergeCell ref="A220:A222"/>
    <mergeCell ref="B220:B221"/>
    <mergeCell ref="A209:A212"/>
    <mergeCell ref="B209:B211"/>
    <mergeCell ref="A201:A205"/>
    <mergeCell ref="B201:B204"/>
    <mergeCell ref="A197:A200"/>
    <mergeCell ref="B197:B199"/>
    <mergeCell ref="A206:A208"/>
    <mergeCell ref="B206:B207"/>
    <mergeCell ref="A171:A175"/>
    <mergeCell ref="B171:B174"/>
    <mergeCell ref="A189:A192"/>
    <mergeCell ref="B189:B191"/>
    <mergeCell ref="A176:A179"/>
    <mergeCell ref="B176:B178"/>
    <mergeCell ref="A193:A196"/>
    <mergeCell ref="B193:B195"/>
    <mergeCell ref="A180:A183"/>
    <mergeCell ref="B180:B182"/>
    <mergeCell ref="A184:A188"/>
    <mergeCell ref="B184:B187"/>
    <mergeCell ref="A167:A170"/>
    <mergeCell ref="B167:B169"/>
    <mergeCell ref="A153:A156"/>
    <mergeCell ref="B153:B155"/>
    <mergeCell ref="A157:A160"/>
    <mergeCell ref="B157:B159"/>
    <mergeCell ref="A161:A166"/>
    <mergeCell ref="B161:B165"/>
    <mergeCell ref="A134:A138"/>
    <mergeCell ref="B134:B137"/>
    <mergeCell ref="A139:A141"/>
    <mergeCell ref="B139:B140"/>
    <mergeCell ref="A148:A152"/>
    <mergeCell ref="B148:B151"/>
    <mergeCell ref="A144:A147"/>
    <mergeCell ref="B144:B146"/>
    <mergeCell ref="A129:A133"/>
    <mergeCell ref="B129:B132"/>
    <mergeCell ref="A125:A128"/>
    <mergeCell ref="B125:B127"/>
    <mergeCell ref="A111:A115"/>
    <mergeCell ref="B111:B114"/>
    <mergeCell ref="A116:A119"/>
    <mergeCell ref="B116:B118"/>
    <mergeCell ref="A84:A88"/>
    <mergeCell ref="B84:B87"/>
    <mergeCell ref="A120:A124"/>
    <mergeCell ref="B120:B123"/>
    <mergeCell ref="A93:A97"/>
    <mergeCell ref="B93:B96"/>
    <mergeCell ref="A98:A102"/>
    <mergeCell ref="B98:B101"/>
    <mergeCell ref="A107:A110"/>
    <mergeCell ref="B107:B109"/>
    <mergeCell ref="A57:A62"/>
    <mergeCell ref="A63:A69"/>
    <mergeCell ref="A89:A92"/>
    <mergeCell ref="B89:B91"/>
    <mergeCell ref="B63:B68"/>
    <mergeCell ref="B57:B61"/>
    <mergeCell ref="A74:A78"/>
    <mergeCell ref="B74:B77"/>
    <mergeCell ref="A79:A83"/>
    <mergeCell ref="B79:B82"/>
    <mergeCell ref="A1:G1"/>
    <mergeCell ref="A2:G2"/>
    <mergeCell ref="A39:A42"/>
    <mergeCell ref="B39:B41"/>
    <mergeCell ref="A15:A19"/>
    <mergeCell ref="B15:B18"/>
    <mergeCell ref="A20:A24"/>
    <mergeCell ref="B20:B23"/>
    <mergeCell ref="A34:A37"/>
    <mergeCell ref="B34:B36"/>
    <mergeCell ref="A52:A56"/>
    <mergeCell ref="B52:B55"/>
    <mergeCell ref="A43:A47"/>
    <mergeCell ref="B43:B46"/>
    <mergeCell ref="A48:A51"/>
    <mergeCell ref="B48:B50"/>
    <mergeCell ref="A5:A9"/>
    <mergeCell ref="B5:B8"/>
    <mergeCell ref="A30:A33"/>
    <mergeCell ref="B30:B32"/>
    <mergeCell ref="A10:A14"/>
    <mergeCell ref="B10:B13"/>
    <mergeCell ref="A25:A29"/>
    <mergeCell ref="B25:B28"/>
    <mergeCell ref="A288:A292"/>
    <mergeCell ref="B288:B291"/>
    <mergeCell ref="A277:A280"/>
    <mergeCell ref="B277:B279"/>
    <mergeCell ref="A281:A283"/>
    <mergeCell ref="B281:B282"/>
    <mergeCell ref="A284:A287"/>
    <mergeCell ref="B284:B286"/>
    <mergeCell ref="A312:A316"/>
    <mergeCell ref="B312:B315"/>
    <mergeCell ref="A293:A295"/>
    <mergeCell ref="B293:B294"/>
    <mergeCell ref="A296:A301"/>
    <mergeCell ref="B296:B300"/>
    <mergeCell ref="A302:A306"/>
    <mergeCell ref="B302:B305"/>
    <mergeCell ref="A307:A311"/>
    <mergeCell ref="B307:B310"/>
    <mergeCell ref="A335:A340"/>
    <mergeCell ref="B335:B339"/>
    <mergeCell ref="A348:A352"/>
    <mergeCell ref="B348:B351"/>
    <mergeCell ref="A362:C362"/>
    <mergeCell ref="A353:A358"/>
    <mergeCell ref="B353:B357"/>
    <mergeCell ref="A359:A361"/>
    <mergeCell ref="B359:B360"/>
    <mergeCell ref="A321:A324"/>
    <mergeCell ref="B321:B323"/>
    <mergeCell ref="A330:A331"/>
    <mergeCell ref="A332:A334"/>
    <mergeCell ref="B332:B333"/>
    <mergeCell ref="A325:A329"/>
    <mergeCell ref="B325:B328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75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6"/>
  <sheetViews>
    <sheetView tabSelected="1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02" sqref="F202"/>
    </sheetView>
  </sheetViews>
  <sheetFormatPr defaultColWidth="9.00390625" defaultRowHeight="15.75"/>
  <cols>
    <col min="1" max="1" width="3.00390625" style="169" bestFit="1" customWidth="1"/>
    <col min="2" max="2" width="24.75390625" style="310" customWidth="1"/>
    <col min="3" max="3" width="42.25390625" style="170" customWidth="1"/>
    <col min="4" max="16384" width="9.00390625" style="168" customWidth="1"/>
  </cols>
  <sheetData>
    <row r="1" spans="1:3" s="174" customFormat="1" ht="12.75">
      <c r="A1" s="397" t="s">
        <v>430</v>
      </c>
      <c r="B1" s="397"/>
      <c r="C1" s="397"/>
    </row>
    <row r="2" spans="1:3" s="174" customFormat="1" ht="12.75">
      <c r="A2" s="173"/>
      <c r="B2" s="299"/>
      <c r="C2" s="348"/>
    </row>
    <row r="3" spans="1:3" s="174" customFormat="1" ht="12.75">
      <c r="A3" s="175"/>
      <c r="B3" s="300" t="s">
        <v>271</v>
      </c>
      <c r="C3" s="176"/>
    </row>
    <row r="4" spans="1:3" s="174" customFormat="1" ht="25.5" customHeight="1">
      <c r="A4" s="179" t="s">
        <v>280</v>
      </c>
      <c r="B4" s="180" t="s">
        <v>1</v>
      </c>
      <c r="C4" s="180" t="s">
        <v>8</v>
      </c>
    </row>
    <row r="5" spans="1:3" s="190" customFormat="1" ht="25.5" customHeight="1">
      <c r="A5" s="392">
        <v>1</v>
      </c>
      <c r="B5" s="396" t="s">
        <v>74</v>
      </c>
      <c r="C5" s="280" t="s">
        <v>369</v>
      </c>
    </row>
    <row r="6" spans="1:3" s="190" customFormat="1" ht="25.5" customHeight="1">
      <c r="A6" s="392"/>
      <c r="B6" s="396"/>
      <c r="C6" s="332" t="s">
        <v>370</v>
      </c>
    </row>
    <row r="7" spans="1:3" s="190" customFormat="1" ht="15" customHeight="1">
      <c r="A7" s="193"/>
      <c r="B7" s="301" t="s">
        <v>9</v>
      </c>
      <c r="C7" s="194"/>
    </row>
    <row r="8" spans="1:3" s="229" customFormat="1" ht="25.5" customHeight="1">
      <c r="A8" s="389">
        <v>2</v>
      </c>
      <c r="B8" s="386" t="s">
        <v>80</v>
      </c>
      <c r="C8" s="280" t="s">
        <v>370</v>
      </c>
    </row>
    <row r="9" spans="1:3" s="229" customFormat="1" ht="25.5" customHeight="1">
      <c r="A9" s="391"/>
      <c r="B9" s="388"/>
      <c r="C9" s="280" t="s">
        <v>385</v>
      </c>
    </row>
    <row r="10" spans="1:3" s="190" customFormat="1" ht="15" customHeight="1">
      <c r="A10" s="193"/>
      <c r="B10" s="301" t="s">
        <v>9</v>
      </c>
      <c r="C10" s="194"/>
    </row>
    <row r="11" spans="1:3" s="190" customFormat="1" ht="25.5" customHeight="1">
      <c r="A11" s="392">
        <v>3</v>
      </c>
      <c r="B11" s="396" t="s">
        <v>82</v>
      </c>
      <c r="C11" s="280" t="s">
        <v>370</v>
      </c>
    </row>
    <row r="12" spans="1:3" s="190" customFormat="1" ht="25.5" customHeight="1">
      <c r="A12" s="392"/>
      <c r="B12" s="396"/>
      <c r="C12" s="280" t="s">
        <v>386</v>
      </c>
    </row>
    <row r="13" spans="1:3" s="190" customFormat="1" ht="15" customHeight="1">
      <c r="A13" s="193"/>
      <c r="B13" s="301" t="s">
        <v>9</v>
      </c>
      <c r="C13" s="194"/>
    </row>
    <row r="14" spans="1:3" s="190" customFormat="1" ht="25.5" customHeight="1">
      <c r="A14" s="389">
        <v>4</v>
      </c>
      <c r="B14" s="386" t="s">
        <v>85</v>
      </c>
      <c r="C14" s="354" t="s">
        <v>387</v>
      </c>
    </row>
    <row r="15" spans="1:3" s="190" customFormat="1" ht="25.5" customHeight="1">
      <c r="A15" s="390"/>
      <c r="B15" s="387"/>
      <c r="C15" s="335" t="s">
        <v>388</v>
      </c>
    </row>
    <row r="16" spans="1:3" s="190" customFormat="1" ht="25.5" customHeight="1">
      <c r="A16" s="391"/>
      <c r="B16" s="388"/>
      <c r="C16" s="280" t="s">
        <v>370</v>
      </c>
    </row>
    <row r="17" spans="1:3" s="190" customFormat="1" ht="15" customHeight="1">
      <c r="A17" s="193"/>
      <c r="B17" s="301" t="s">
        <v>9</v>
      </c>
      <c r="C17" s="194"/>
    </row>
    <row r="18" spans="1:3" s="190" customFormat="1" ht="25.5" customHeight="1">
      <c r="A18" s="392">
        <v>5</v>
      </c>
      <c r="B18" s="396" t="s">
        <v>87</v>
      </c>
      <c r="C18" s="280" t="s">
        <v>371</v>
      </c>
    </row>
    <row r="19" spans="1:3" s="190" customFormat="1" ht="25.5" customHeight="1">
      <c r="A19" s="392"/>
      <c r="B19" s="396"/>
      <c r="C19" s="280" t="s">
        <v>372</v>
      </c>
    </row>
    <row r="20" spans="1:3" s="190" customFormat="1" ht="15" customHeight="1">
      <c r="A20" s="193"/>
      <c r="B20" s="301" t="s">
        <v>9</v>
      </c>
      <c r="C20" s="194"/>
    </row>
    <row r="21" spans="1:3" s="190" customFormat="1" ht="25.5" customHeight="1">
      <c r="A21" s="392">
        <v>6</v>
      </c>
      <c r="B21" s="396" t="s">
        <v>89</v>
      </c>
      <c r="C21" s="347" t="s">
        <v>373</v>
      </c>
    </row>
    <row r="22" spans="1:3" s="190" customFormat="1" ht="25.5" customHeight="1">
      <c r="A22" s="392"/>
      <c r="B22" s="396"/>
      <c r="C22" s="280" t="s">
        <v>368</v>
      </c>
    </row>
    <row r="23" spans="1:3" s="190" customFormat="1" ht="25.5" customHeight="1">
      <c r="A23" s="392"/>
      <c r="B23" s="396"/>
      <c r="C23" s="280" t="s">
        <v>372</v>
      </c>
    </row>
    <row r="24" spans="1:3" s="190" customFormat="1" ht="15" customHeight="1">
      <c r="A24" s="193"/>
      <c r="B24" s="301" t="s">
        <v>9</v>
      </c>
      <c r="C24" s="194"/>
    </row>
    <row r="25" spans="1:3" s="190" customFormat="1" ht="25.5" customHeight="1">
      <c r="A25" s="392">
        <v>7</v>
      </c>
      <c r="B25" s="396" t="s">
        <v>92</v>
      </c>
      <c r="C25" s="335" t="s">
        <v>374</v>
      </c>
    </row>
    <row r="26" spans="1:3" s="190" customFormat="1" ht="25.5" customHeight="1">
      <c r="A26" s="392"/>
      <c r="B26" s="396"/>
      <c r="C26" s="280" t="s">
        <v>372</v>
      </c>
    </row>
    <row r="27" spans="1:3" s="190" customFormat="1" ht="15" customHeight="1">
      <c r="A27" s="193"/>
      <c r="B27" s="301" t="s">
        <v>9</v>
      </c>
      <c r="C27" s="194"/>
    </row>
    <row r="28" spans="1:3" s="190" customFormat="1" ht="25.5" customHeight="1">
      <c r="A28" s="184">
        <v>8</v>
      </c>
      <c r="B28" s="206" t="s">
        <v>94</v>
      </c>
      <c r="C28" s="335" t="s">
        <v>389</v>
      </c>
    </row>
    <row r="29" spans="1:3" s="190" customFormat="1" ht="15" customHeight="1">
      <c r="A29" s="193"/>
      <c r="B29" s="301" t="s">
        <v>9</v>
      </c>
      <c r="C29" s="194"/>
    </row>
    <row r="30" spans="1:3" s="190" customFormat="1" ht="25.5" customHeight="1">
      <c r="A30" s="184">
        <v>9</v>
      </c>
      <c r="B30" s="185" t="s">
        <v>98</v>
      </c>
      <c r="C30" s="332" t="s">
        <v>390</v>
      </c>
    </row>
    <row r="31" spans="1:3" s="190" customFormat="1" ht="15" customHeight="1">
      <c r="A31" s="193"/>
      <c r="B31" s="301" t="s">
        <v>9</v>
      </c>
      <c r="C31" s="194"/>
    </row>
    <row r="32" spans="1:3" s="190" customFormat="1" ht="25.5" customHeight="1">
      <c r="A32" s="184">
        <v>10</v>
      </c>
      <c r="B32" s="206" t="s">
        <v>101</v>
      </c>
      <c r="C32" s="357" t="s">
        <v>365</v>
      </c>
    </row>
    <row r="33" spans="1:3" s="190" customFormat="1" ht="15" customHeight="1">
      <c r="A33" s="193"/>
      <c r="B33" s="301" t="s">
        <v>9</v>
      </c>
      <c r="C33" s="194"/>
    </row>
    <row r="34" spans="1:3" s="190" customFormat="1" ht="25.5" customHeight="1">
      <c r="A34" s="389">
        <v>11</v>
      </c>
      <c r="B34" s="386" t="s">
        <v>102</v>
      </c>
      <c r="C34" s="357" t="s">
        <v>391</v>
      </c>
    </row>
    <row r="35" spans="1:3" s="190" customFormat="1" ht="25.5" customHeight="1">
      <c r="A35" s="391"/>
      <c r="B35" s="388"/>
      <c r="C35" s="332" t="s">
        <v>392</v>
      </c>
    </row>
    <row r="36" spans="1:3" s="190" customFormat="1" ht="15" customHeight="1">
      <c r="A36" s="193"/>
      <c r="B36" s="301" t="s">
        <v>9</v>
      </c>
      <c r="C36" s="194"/>
    </row>
    <row r="37" spans="1:3" s="190" customFormat="1" ht="25.5" customHeight="1">
      <c r="A37" s="392">
        <v>12</v>
      </c>
      <c r="B37" s="396" t="s">
        <v>104</v>
      </c>
      <c r="C37" s="357" t="s">
        <v>375</v>
      </c>
    </row>
    <row r="38" spans="1:3" s="190" customFormat="1" ht="25.5" customHeight="1">
      <c r="A38" s="392"/>
      <c r="B38" s="396"/>
      <c r="C38" s="332" t="s">
        <v>142</v>
      </c>
    </row>
    <row r="39" spans="1:3" s="190" customFormat="1" ht="15" customHeight="1">
      <c r="A39" s="193"/>
      <c r="B39" s="301" t="s">
        <v>9</v>
      </c>
      <c r="C39" s="194"/>
    </row>
    <row r="40" spans="1:3" s="190" customFormat="1" ht="25.5" customHeight="1">
      <c r="A40" s="184">
        <v>13</v>
      </c>
      <c r="B40" s="185" t="s">
        <v>108</v>
      </c>
      <c r="C40" s="332" t="s">
        <v>392</v>
      </c>
    </row>
    <row r="41" spans="1:3" s="190" customFormat="1" ht="15" customHeight="1">
      <c r="A41" s="193"/>
      <c r="B41" s="301" t="s">
        <v>9</v>
      </c>
      <c r="C41" s="194"/>
    </row>
    <row r="42" spans="1:3" s="190" customFormat="1" ht="25.5" customHeight="1">
      <c r="A42" s="389">
        <v>14</v>
      </c>
      <c r="B42" s="386" t="s">
        <v>110</v>
      </c>
      <c r="C42" s="357" t="s">
        <v>393</v>
      </c>
    </row>
    <row r="43" spans="1:3" s="190" customFormat="1" ht="25.5" customHeight="1">
      <c r="A43" s="391"/>
      <c r="B43" s="388"/>
      <c r="C43" s="358" t="s">
        <v>376</v>
      </c>
    </row>
    <row r="44" spans="1:3" s="190" customFormat="1" ht="15" customHeight="1">
      <c r="A44" s="193"/>
      <c r="B44" s="301" t="s">
        <v>9</v>
      </c>
      <c r="C44" s="194"/>
    </row>
    <row r="45" spans="1:3" s="190" customFormat="1" ht="25.5" customHeight="1">
      <c r="A45" s="184">
        <v>15</v>
      </c>
      <c r="B45" s="206" t="s">
        <v>112</v>
      </c>
      <c r="C45" s="335"/>
    </row>
    <row r="46" spans="1:3" s="190" customFormat="1" ht="15" customHeight="1">
      <c r="A46" s="193"/>
      <c r="B46" s="301" t="s">
        <v>9</v>
      </c>
      <c r="C46" s="194"/>
    </row>
    <row r="47" spans="1:3" s="190" customFormat="1" ht="25.5" customHeight="1">
      <c r="A47" s="389">
        <v>16</v>
      </c>
      <c r="B47" s="386" t="s">
        <v>116</v>
      </c>
      <c r="C47" s="359" t="s">
        <v>393</v>
      </c>
    </row>
    <row r="48" spans="1:3" s="190" customFormat="1" ht="25.5" customHeight="1">
      <c r="A48" s="390"/>
      <c r="B48" s="387"/>
      <c r="C48" s="282" t="s">
        <v>384</v>
      </c>
    </row>
    <row r="49" spans="1:3" s="190" customFormat="1" ht="25.5" customHeight="1">
      <c r="A49" s="391"/>
      <c r="B49" s="388"/>
      <c r="C49" s="360" t="s">
        <v>376</v>
      </c>
    </row>
    <row r="50" spans="1:3" s="190" customFormat="1" ht="15" customHeight="1">
      <c r="A50" s="193"/>
      <c r="B50" s="301" t="s">
        <v>9</v>
      </c>
      <c r="C50" s="194"/>
    </row>
    <row r="51" spans="1:3" s="190" customFormat="1" ht="25.5" customHeight="1">
      <c r="A51" s="389">
        <v>17</v>
      </c>
      <c r="B51" s="386" t="s">
        <v>118</v>
      </c>
      <c r="C51" s="357" t="s">
        <v>393</v>
      </c>
    </row>
    <row r="52" spans="1:3" s="190" customFormat="1" ht="25.5" customHeight="1">
      <c r="A52" s="390"/>
      <c r="B52" s="387"/>
      <c r="C52" s="294" t="s">
        <v>377</v>
      </c>
    </row>
    <row r="53" spans="1:3" s="190" customFormat="1" ht="25.5" customHeight="1">
      <c r="A53" s="390"/>
      <c r="B53" s="387"/>
      <c r="C53" s="360" t="s">
        <v>376</v>
      </c>
    </row>
    <row r="54" spans="1:3" s="190" customFormat="1" ht="15" customHeight="1">
      <c r="A54" s="193"/>
      <c r="B54" s="301" t="s">
        <v>9</v>
      </c>
      <c r="C54" s="194"/>
    </row>
    <row r="55" spans="1:3" s="190" customFormat="1" ht="25.5" customHeight="1">
      <c r="A55" s="392">
        <v>18</v>
      </c>
      <c r="B55" s="396" t="s">
        <v>121</v>
      </c>
      <c r="C55" s="359" t="s">
        <v>393</v>
      </c>
    </row>
    <row r="56" spans="1:3" s="190" customFormat="1" ht="25.5" customHeight="1">
      <c r="A56" s="392"/>
      <c r="B56" s="396"/>
      <c r="C56" s="355" t="s">
        <v>378</v>
      </c>
    </row>
    <row r="57" spans="1:3" s="190" customFormat="1" ht="25.5" customHeight="1">
      <c r="A57" s="392"/>
      <c r="B57" s="396"/>
      <c r="C57" s="279" t="s">
        <v>330</v>
      </c>
    </row>
    <row r="58" spans="1:3" s="190" customFormat="1" ht="15" customHeight="1">
      <c r="A58" s="193"/>
      <c r="B58" s="301" t="s">
        <v>9</v>
      </c>
      <c r="C58" s="194"/>
    </row>
    <row r="59" spans="1:3" s="190" customFormat="1" ht="25.5" customHeight="1">
      <c r="A59" s="389">
        <v>19</v>
      </c>
      <c r="B59" s="386" t="s">
        <v>18</v>
      </c>
      <c r="C59" s="332" t="s">
        <v>190</v>
      </c>
    </row>
    <row r="60" spans="1:3" s="190" customFormat="1" ht="25.5" customHeight="1">
      <c r="A60" s="390"/>
      <c r="B60" s="387"/>
      <c r="C60" s="357" t="s">
        <v>394</v>
      </c>
    </row>
    <row r="61" spans="1:3" s="190" customFormat="1" ht="25.5" customHeight="1">
      <c r="A61" s="390"/>
      <c r="B61" s="387"/>
      <c r="C61" s="334" t="s">
        <v>379</v>
      </c>
    </row>
    <row r="62" spans="1:3" s="190" customFormat="1" ht="25.5" customHeight="1">
      <c r="A62" s="391"/>
      <c r="B62" s="388"/>
      <c r="C62" s="280" t="s">
        <v>395</v>
      </c>
    </row>
    <row r="63" spans="1:3" s="190" customFormat="1" ht="15" customHeight="1">
      <c r="A63" s="193"/>
      <c r="B63" s="301" t="s">
        <v>9</v>
      </c>
      <c r="C63" s="194"/>
    </row>
    <row r="64" spans="1:3" s="190" customFormat="1" ht="25.5" customHeight="1">
      <c r="A64" s="184">
        <v>20</v>
      </c>
      <c r="B64" s="206" t="s">
        <v>20</v>
      </c>
      <c r="C64" s="334" t="s">
        <v>380</v>
      </c>
    </row>
    <row r="65" spans="1:3" s="190" customFormat="1" ht="15" customHeight="1">
      <c r="A65" s="193"/>
      <c r="B65" s="301" t="s">
        <v>9</v>
      </c>
      <c r="C65" s="194"/>
    </row>
    <row r="66" spans="1:3" s="190" customFormat="1" ht="25.5" customHeight="1">
      <c r="A66" s="184">
        <v>21</v>
      </c>
      <c r="B66" s="185" t="s">
        <v>21</v>
      </c>
      <c r="C66" s="280"/>
    </row>
    <row r="67" spans="1:3" s="190" customFormat="1" ht="15" customHeight="1">
      <c r="A67" s="193"/>
      <c r="B67" s="301" t="s">
        <v>9</v>
      </c>
      <c r="C67" s="194"/>
    </row>
    <row r="68" spans="1:3" s="190" customFormat="1" ht="25.5" customHeight="1">
      <c r="A68" s="184">
        <v>22</v>
      </c>
      <c r="B68" s="206" t="s">
        <v>17</v>
      </c>
      <c r="C68" s="335"/>
    </row>
    <row r="69" spans="1:3" s="190" customFormat="1" ht="15" customHeight="1">
      <c r="A69" s="193"/>
      <c r="B69" s="301" t="s">
        <v>9</v>
      </c>
      <c r="C69" s="215"/>
    </row>
    <row r="70" spans="1:3" s="190" customFormat="1" ht="25.5" customHeight="1">
      <c r="A70" s="184">
        <v>23</v>
      </c>
      <c r="B70" s="185" t="s">
        <v>22</v>
      </c>
      <c r="C70" s="356" t="s">
        <v>190</v>
      </c>
    </row>
    <row r="71" spans="1:3" s="190" customFormat="1" ht="15" customHeight="1">
      <c r="A71" s="193"/>
      <c r="B71" s="301" t="s">
        <v>9</v>
      </c>
      <c r="C71" s="215"/>
    </row>
    <row r="72" spans="1:3" s="190" customFormat="1" ht="25.5" customHeight="1">
      <c r="A72" s="197">
        <v>24</v>
      </c>
      <c r="B72" s="198" t="s">
        <v>23</v>
      </c>
      <c r="C72" s="342"/>
    </row>
    <row r="73" spans="1:3" s="190" customFormat="1" ht="15" customHeight="1">
      <c r="A73" s="193"/>
      <c r="B73" s="301" t="s">
        <v>9</v>
      </c>
      <c r="C73" s="215"/>
    </row>
    <row r="74" spans="1:3" s="190" customFormat="1" ht="25.5" customHeight="1">
      <c r="A74" s="389">
        <v>25</v>
      </c>
      <c r="B74" s="386" t="s">
        <v>24</v>
      </c>
      <c r="C74" s="332" t="s">
        <v>190</v>
      </c>
    </row>
    <row r="75" spans="1:3" s="190" customFormat="1" ht="25.5" customHeight="1">
      <c r="A75" s="391"/>
      <c r="B75" s="388"/>
      <c r="C75" s="332" t="s">
        <v>390</v>
      </c>
    </row>
    <row r="76" spans="1:3" s="190" customFormat="1" ht="15" customHeight="1">
      <c r="A76" s="193"/>
      <c r="B76" s="301" t="s">
        <v>9</v>
      </c>
      <c r="C76" s="215"/>
    </row>
    <row r="77" spans="1:3" s="223" customFormat="1" ht="25.5" customHeight="1">
      <c r="A77" s="184">
        <v>26</v>
      </c>
      <c r="B77" s="206" t="s">
        <v>25</v>
      </c>
      <c r="C77" s="335"/>
    </row>
    <row r="78" spans="1:3" s="190" customFormat="1" ht="15" customHeight="1">
      <c r="A78" s="193"/>
      <c r="B78" s="301" t="s">
        <v>9</v>
      </c>
      <c r="C78" s="194"/>
    </row>
    <row r="79" spans="1:3" s="190" customFormat="1" ht="25.5" customHeight="1">
      <c r="A79" s="184">
        <v>27</v>
      </c>
      <c r="B79" s="185" t="s">
        <v>26</v>
      </c>
      <c r="C79" s="334" t="s">
        <v>381</v>
      </c>
    </row>
    <row r="80" spans="1:3" s="190" customFormat="1" ht="15" customHeight="1">
      <c r="A80" s="193"/>
      <c r="B80" s="301" t="s">
        <v>9</v>
      </c>
      <c r="C80" s="194"/>
    </row>
    <row r="81" spans="1:3" s="190" customFormat="1" ht="25.5" customHeight="1">
      <c r="A81" s="389">
        <v>28</v>
      </c>
      <c r="B81" s="386" t="s">
        <v>27</v>
      </c>
      <c r="C81" s="357" t="s">
        <v>391</v>
      </c>
    </row>
    <row r="82" spans="1:3" s="190" customFormat="1" ht="25.5" customHeight="1">
      <c r="A82" s="391"/>
      <c r="B82" s="388"/>
      <c r="C82" s="334" t="s">
        <v>381</v>
      </c>
    </row>
    <row r="83" spans="1:3" s="190" customFormat="1" ht="15" customHeight="1">
      <c r="A83" s="193"/>
      <c r="B83" s="301" t="s">
        <v>9</v>
      </c>
      <c r="C83" s="215"/>
    </row>
    <row r="84" spans="1:3" s="190" customFormat="1" ht="25.5" customHeight="1">
      <c r="A84" s="392">
        <v>29</v>
      </c>
      <c r="B84" s="396" t="s">
        <v>28</v>
      </c>
      <c r="C84" s="294" t="s">
        <v>382</v>
      </c>
    </row>
    <row r="85" spans="1:3" s="190" customFormat="1" ht="25.5" customHeight="1">
      <c r="A85" s="392"/>
      <c r="B85" s="396"/>
      <c r="C85" s="357" t="s">
        <v>391</v>
      </c>
    </row>
    <row r="86" spans="1:3" s="190" customFormat="1" ht="25.5" customHeight="1">
      <c r="A86" s="392"/>
      <c r="B86" s="396"/>
      <c r="C86" s="332" t="s">
        <v>142</v>
      </c>
    </row>
    <row r="87" spans="1:3" s="190" customFormat="1" ht="25.5" customHeight="1">
      <c r="A87" s="392"/>
      <c r="B87" s="396"/>
      <c r="C87" s="332" t="s">
        <v>383</v>
      </c>
    </row>
    <row r="88" spans="1:3" s="190" customFormat="1" ht="25.5" customHeight="1">
      <c r="A88" s="392"/>
      <c r="B88" s="396"/>
      <c r="C88" s="334" t="s">
        <v>381</v>
      </c>
    </row>
    <row r="89" spans="1:3" s="190" customFormat="1" ht="15" customHeight="1">
      <c r="A89" s="193"/>
      <c r="B89" s="301" t="s">
        <v>9</v>
      </c>
      <c r="C89" s="194"/>
    </row>
    <row r="90" spans="1:3" s="190" customFormat="1" ht="25.5" customHeight="1">
      <c r="A90" s="184">
        <v>30</v>
      </c>
      <c r="B90" s="185" t="s">
        <v>277</v>
      </c>
      <c r="C90" s="342"/>
    </row>
    <row r="91" spans="1:3" s="190" customFormat="1" ht="15" customHeight="1">
      <c r="A91" s="193"/>
      <c r="B91" s="301" t="s">
        <v>9</v>
      </c>
      <c r="C91" s="194"/>
    </row>
    <row r="92" spans="1:3" s="190" customFormat="1" ht="25.5" customHeight="1">
      <c r="A92" s="184">
        <v>31</v>
      </c>
      <c r="B92" s="206" t="s">
        <v>29</v>
      </c>
      <c r="C92" s="357" t="s">
        <v>396</v>
      </c>
    </row>
    <row r="93" spans="1:22" s="190" customFormat="1" ht="15" customHeight="1">
      <c r="A93" s="193"/>
      <c r="B93" s="301" t="s">
        <v>9</v>
      </c>
      <c r="C93" s="194"/>
      <c r="D93" s="346"/>
      <c r="E93" s="346"/>
      <c r="F93" s="346"/>
      <c r="G93" s="346"/>
      <c r="H93" s="346"/>
      <c r="I93" s="346"/>
      <c r="J93" s="346"/>
      <c r="K93" s="346"/>
      <c r="L93" s="346"/>
      <c r="M93" s="346"/>
      <c r="N93" s="346"/>
      <c r="O93" s="346"/>
      <c r="P93" s="346"/>
      <c r="Q93" s="346"/>
      <c r="R93" s="346"/>
      <c r="S93" s="346"/>
      <c r="T93" s="346"/>
      <c r="U93" s="346"/>
      <c r="V93" s="346"/>
    </row>
    <row r="94" spans="1:22" s="190" customFormat="1" ht="25.5" customHeight="1">
      <c r="A94" s="184">
        <v>32</v>
      </c>
      <c r="B94" s="185" t="s">
        <v>30</v>
      </c>
      <c r="C94" s="335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</row>
    <row r="95" spans="1:22" s="190" customFormat="1" ht="15" customHeight="1">
      <c r="A95" s="193"/>
      <c r="B95" s="301" t="s">
        <v>9</v>
      </c>
      <c r="C95" s="194"/>
      <c r="D95" s="346"/>
      <c r="E95" s="346"/>
      <c r="F95" s="346"/>
      <c r="G95" s="346"/>
      <c r="H95" s="346"/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346"/>
      <c r="V95" s="346"/>
    </row>
    <row r="96" spans="1:22" s="223" customFormat="1" ht="25.5" customHeight="1">
      <c r="A96" s="184">
        <v>33</v>
      </c>
      <c r="B96" s="206" t="s">
        <v>31</v>
      </c>
      <c r="C96" s="332" t="s">
        <v>190</v>
      </c>
      <c r="D96" s="346"/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346"/>
      <c r="P96" s="346"/>
      <c r="Q96" s="346"/>
      <c r="R96" s="346"/>
      <c r="S96" s="346"/>
      <c r="T96" s="346"/>
      <c r="U96" s="346"/>
      <c r="V96" s="346"/>
    </row>
    <row r="97" spans="1:22" s="190" customFormat="1" ht="15" customHeight="1">
      <c r="A97" s="193"/>
      <c r="B97" s="301" t="s">
        <v>9</v>
      </c>
      <c r="C97" s="194"/>
      <c r="D97" s="346"/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46"/>
      <c r="P97" s="346"/>
      <c r="Q97" s="346"/>
      <c r="R97" s="346"/>
      <c r="S97" s="346"/>
      <c r="T97" s="346"/>
      <c r="U97" s="346"/>
      <c r="V97" s="346"/>
    </row>
    <row r="98" spans="1:3" s="190" customFormat="1" ht="25.5" customHeight="1">
      <c r="A98" s="184">
        <v>34</v>
      </c>
      <c r="B98" s="206" t="s">
        <v>32</v>
      </c>
      <c r="C98" s="335"/>
    </row>
    <row r="99" spans="1:3" s="190" customFormat="1" ht="15" customHeight="1">
      <c r="A99" s="193"/>
      <c r="B99" s="301" t="s">
        <v>9</v>
      </c>
      <c r="C99" s="194"/>
    </row>
    <row r="100" spans="1:3" s="229" customFormat="1" ht="25.5" customHeight="1">
      <c r="A100" s="184">
        <v>35</v>
      </c>
      <c r="B100" s="185" t="s">
        <v>33</v>
      </c>
      <c r="C100" s="335"/>
    </row>
    <row r="101" spans="1:3" s="190" customFormat="1" ht="15" customHeight="1">
      <c r="A101" s="193"/>
      <c r="B101" s="301" t="s">
        <v>9</v>
      </c>
      <c r="C101" s="194"/>
    </row>
    <row r="102" spans="1:3" s="190" customFormat="1" ht="25.5" customHeight="1">
      <c r="A102" s="184">
        <v>36</v>
      </c>
      <c r="B102" s="206" t="s">
        <v>127</v>
      </c>
      <c r="C102" s="335"/>
    </row>
    <row r="103" spans="1:3" s="190" customFormat="1" ht="15" customHeight="1">
      <c r="A103" s="193"/>
      <c r="B103" s="301" t="s">
        <v>9</v>
      </c>
      <c r="C103" s="194"/>
    </row>
    <row r="104" spans="1:3" s="190" customFormat="1" ht="25.5" customHeight="1">
      <c r="A104" s="394">
        <v>37</v>
      </c>
      <c r="B104" s="393" t="s">
        <v>123</v>
      </c>
      <c r="C104" s="284" t="s">
        <v>381</v>
      </c>
    </row>
    <row r="105" spans="1:3" s="190" customFormat="1" ht="25.5" customHeight="1">
      <c r="A105" s="395"/>
      <c r="B105" s="393"/>
      <c r="C105" s="285" t="s">
        <v>397</v>
      </c>
    </row>
    <row r="106" spans="1:3" s="190" customFormat="1" ht="15" customHeight="1">
      <c r="A106" s="230"/>
      <c r="B106" s="301" t="s">
        <v>9</v>
      </c>
      <c r="C106" s="194"/>
    </row>
    <row r="107" spans="1:3" s="190" customFormat="1" ht="25.5" customHeight="1">
      <c r="A107" s="394">
        <v>38</v>
      </c>
      <c r="B107" s="386" t="s">
        <v>134</v>
      </c>
      <c r="C107" s="357" t="s">
        <v>391</v>
      </c>
    </row>
    <row r="108" spans="1:3" s="190" customFormat="1" ht="25.5" customHeight="1">
      <c r="A108" s="395"/>
      <c r="B108" s="388"/>
      <c r="C108" s="334" t="s">
        <v>398</v>
      </c>
    </row>
    <row r="109" spans="1:3" s="190" customFormat="1" ht="15" customHeight="1">
      <c r="A109" s="230"/>
      <c r="B109" s="230" t="s">
        <v>9</v>
      </c>
      <c r="C109" s="215"/>
    </row>
    <row r="110" spans="1:3" s="190" customFormat="1" ht="25.5" customHeight="1">
      <c r="A110" s="184">
        <v>39</v>
      </c>
      <c r="B110" s="185" t="s">
        <v>130</v>
      </c>
      <c r="C110" s="280"/>
    </row>
    <row r="111" spans="1:3" s="190" customFormat="1" ht="15" customHeight="1">
      <c r="A111" s="193"/>
      <c r="B111" s="301" t="s">
        <v>9</v>
      </c>
      <c r="C111" s="215"/>
    </row>
    <row r="112" spans="1:3" s="190" customFormat="1" ht="25.5" customHeight="1">
      <c r="A112" s="184">
        <v>40</v>
      </c>
      <c r="B112" s="206" t="s">
        <v>138</v>
      </c>
      <c r="C112" s="335"/>
    </row>
    <row r="113" spans="1:3" s="190" customFormat="1" ht="15" customHeight="1">
      <c r="A113" s="193"/>
      <c r="B113" s="301" t="s">
        <v>9</v>
      </c>
      <c r="C113" s="215"/>
    </row>
    <row r="114" spans="1:3" s="190" customFormat="1" ht="25.5" customHeight="1">
      <c r="A114" s="389">
        <v>41</v>
      </c>
      <c r="B114" s="386" t="s">
        <v>141</v>
      </c>
      <c r="C114" s="280" t="s">
        <v>399</v>
      </c>
    </row>
    <row r="115" spans="1:3" s="190" customFormat="1" ht="25.5" customHeight="1">
      <c r="A115" s="391"/>
      <c r="B115" s="388"/>
      <c r="C115" s="332" t="s">
        <v>400</v>
      </c>
    </row>
    <row r="116" spans="1:3" s="190" customFormat="1" ht="15" customHeight="1">
      <c r="A116" s="193"/>
      <c r="B116" s="301" t="s">
        <v>9</v>
      </c>
      <c r="C116" s="215"/>
    </row>
    <row r="117" spans="1:3" s="235" customFormat="1" ht="25.5" customHeight="1">
      <c r="A117" s="389">
        <v>42</v>
      </c>
      <c r="B117" s="386" t="s">
        <v>145</v>
      </c>
      <c r="C117" s="357" t="s">
        <v>401</v>
      </c>
    </row>
    <row r="118" spans="1:3" s="235" customFormat="1" ht="25.5" customHeight="1">
      <c r="A118" s="391"/>
      <c r="B118" s="388"/>
      <c r="C118" s="280" t="s">
        <v>399</v>
      </c>
    </row>
    <row r="119" spans="1:3" s="190" customFormat="1" ht="15" customHeight="1">
      <c r="A119" s="193"/>
      <c r="B119" s="301" t="s">
        <v>9</v>
      </c>
      <c r="C119" s="215"/>
    </row>
    <row r="120" spans="1:3" s="190" customFormat="1" ht="25.5" customHeight="1">
      <c r="A120" s="184">
        <v>43</v>
      </c>
      <c r="B120" s="185" t="s">
        <v>148</v>
      </c>
      <c r="C120" s="345"/>
    </row>
    <row r="121" spans="1:3" s="190" customFormat="1" ht="15" customHeight="1">
      <c r="A121" s="193"/>
      <c r="B121" s="301" t="s">
        <v>9</v>
      </c>
      <c r="C121" s="215"/>
    </row>
    <row r="122" spans="1:3" s="190" customFormat="1" ht="25.5" customHeight="1">
      <c r="A122" s="184">
        <v>44</v>
      </c>
      <c r="B122" s="206" t="s">
        <v>152</v>
      </c>
      <c r="C122" s="345" t="s">
        <v>397</v>
      </c>
    </row>
    <row r="123" spans="1:3" s="190" customFormat="1" ht="15" customHeight="1">
      <c r="A123" s="193"/>
      <c r="B123" s="301" t="s">
        <v>9</v>
      </c>
      <c r="C123" s="215"/>
    </row>
    <row r="124" spans="1:3" s="190" customFormat="1" ht="25.5" customHeight="1">
      <c r="A124" s="184">
        <v>45</v>
      </c>
      <c r="B124" s="185" t="s">
        <v>155</v>
      </c>
      <c r="C124" s="345" t="s">
        <v>397</v>
      </c>
    </row>
    <row r="125" spans="1:3" s="190" customFormat="1" ht="15" customHeight="1">
      <c r="A125" s="193"/>
      <c r="B125" s="301" t="s">
        <v>9</v>
      </c>
      <c r="C125" s="215"/>
    </row>
    <row r="126" spans="1:3" s="190" customFormat="1" ht="25.5" customHeight="1">
      <c r="A126" s="389">
        <v>46</v>
      </c>
      <c r="B126" s="386" t="s">
        <v>157</v>
      </c>
      <c r="C126" s="332" t="s">
        <v>402</v>
      </c>
    </row>
    <row r="127" spans="1:3" s="190" customFormat="1" ht="25.5" customHeight="1">
      <c r="A127" s="391"/>
      <c r="B127" s="388"/>
      <c r="C127" s="332" t="s">
        <v>397</v>
      </c>
    </row>
    <row r="128" spans="1:3" s="190" customFormat="1" ht="15" customHeight="1">
      <c r="A128" s="193"/>
      <c r="B128" s="301" t="s">
        <v>9</v>
      </c>
      <c r="C128" s="215"/>
    </row>
    <row r="129" spans="1:3" s="190" customFormat="1" ht="25.5" customHeight="1">
      <c r="A129" s="184">
        <v>47</v>
      </c>
      <c r="B129" s="185" t="s">
        <v>158</v>
      </c>
      <c r="C129" s="361" t="s">
        <v>403</v>
      </c>
    </row>
    <row r="130" spans="1:3" s="190" customFormat="1" ht="15" customHeight="1">
      <c r="A130" s="193"/>
      <c r="B130" s="301" t="s">
        <v>9</v>
      </c>
      <c r="C130" s="215"/>
    </row>
    <row r="131" spans="1:3" s="190" customFormat="1" ht="25.5" customHeight="1">
      <c r="A131" s="392">
        <v>48</v>
      </c>
      <c r="B131" s="396" t="s">
        <v>164</v>
      </c>
      <c r="C131" s="335" t="s">
        <v>404</v>
      </c>
    </row>
    <row r="132" spans="1:3" s="190" customFormat="1" ht="25.5" customHeight="1">
      <c r="A132" s="392"/>
      <c r="B132" s="396"/>
      <c r="C132" s="280" t="s">
        <v>405</v>
      </c>
    </row>
    <row r="133" spans="1:3" s="190" customFormat="1" ht="25.5" customHeight="1">
      <c r="A133" s="392"/>
      <c r="B133" s="396"/>
      <c r="C133" s="280" t="s">
        <v>395</v>
      </c>
    </row>
    <row r="134" spans="1:3" s="190" customFormat="1" ht="25.5" customHeight="1">
      <c r="A134" s="392"/>
      <c r="B134" s="396"/>
      <c r="C134" s="280" t="s">
        <v>406</v>
      </c>
    </row>
    <row r="135" spans="1:3" s="190" customFormat="1" ht="25.5" customHeight="1">
      <c r="A135" s="392"/>
      <c r="B135" s="396"/>
      <c r="C135" s="280" t="s">
        <v>407</v>
      </c>
    </row>
    <row r="136" spans="1:3" s="190" customFormat="1" ht="15" customHeight="1">
      <c r="A136" s="193"/>
      <c r="B136" s="301" t="s">
        <v>9</v>
      </c>
      <c r="C136" s="215"/>
    </row>
    <row r="137" spans="1:3" s="190" customFormat="1" ht="25.5" customHeight="1">
      <c r="A137" s="389">
        <v>49</v>
      </c>
      <c r="B137" s="386" t="s">
        <v>168</v>
      </c>
      <c r="C137" s="335" t="s">
        <v>404</v>
      </c>
    </row>
    <row r="138" spans="1:3" s="190" customFormat="1" ht="25.5" customHeight="1">
      <c r="A138" s="390"/>
      <c r="B138" s="387"/>
      <c r="C138" s="280" t="s">
        <v>408</v>
      </c>
    </row>
    <row r="139" spans="1:3" s="190" customFormat="1" ht="25.5" customHeight="1">
      <c r="A139" s="391"/>
      <c r="B139" s="388"/>
      <c r="C139" s="362" t="s">
        <v>409</v>
      </c>
    </row>
    <row r="140" spans="1:3" s="190" customFormat="1" ht="15" customHeight="1">
      <c r="A140" s="193"/>
      <c r="B140" s="301" t="s">
        <v>9</v>
      </c>
      <c r="C140" s="215"/>
    </row>
    <row r="141" spans="1:3" s="190" customFormat="1" ht="25.5" customHeight="1">
      <c r="A141" s="392">
        <v>50</v>
      </c>
      <c r="B141" s="396" t="s">
        <v>172</v>
      </c>
      <c r="C141" s="335" t="s">
        <v>404</v>
      </c>
    </row>
    <row r="142" spans="1:3" s="190" customFormat="1" ht="25.5" customHeight="1">
      <c r="A142" s="392"/>
      <c r="B142" s="396"/>
      <c r="C142" s="334" t="s">
        <v>384</v>
      </c>
    </row>
    <row r="143" spans="1:3" s="190" customFormat="1" ht="25.5" customHeight="1">
      <c r="A143" s="392"/>
      <c r="B143" s="396"/>
      <c r="C143" s="280" t="s">
        <v>410</v>
      </c>
    </row>
    <row r="144" spans="1:3" s="190" customFormat="1" ht="25.5" customHeight="1">
      <c r="A144" s="392"/>
      <c r="B144" s="396"/>
      <c r="C144" s="280" t="s">
        <v>411</v>
      </c>
    </row>
    <row r="145" spans="1:3" s="190" customFormat="1" ht="15" customHeight="1">
      <c r="A145" s="193"/>
      <c r="B145" s="301" t="s">
        <v>9</v>
      </c>
      <c r="C145" s="215"/>
    </row>
    <row r="146" spans="1:3" s="190" customFormat="1" ht="25.5" customHeight="1">
      <c r="A146" s="184">
        <v>51</v>
      </c>
      <c r="B146" s="185" t="s">
        <v>175</v>
      </c>
      <c r="C146" s="357" t="s">
        <v>404</v>
      </c>
    </row>
    <row r="147" spans="1:3" s="190" customFormat="1" ht="15" customHeight="1">
      <c r="A147" s="193"/>
      <c r="B147" s="301" t="s">
        <v>9</v>
      </c>
      <c r="C147" s="215"/>
    </row>
    <row r="148" spans="1:3" s="190" customFormat="1" ht="25.5" customHeight="1">
      <c r="A148" s="392">
        <v>52</v>
      </c>
      <c r="B148" s="396" t="s">
        <v>180</v>
      </c>
      <c r="C148" s="332" t="s">
        <v>412</v>
      </c>
    </row>
    <row r="149" spans="1:3" s="190" customFormat="1" ht="25.5" customHeight="1">
      <c r="A149" s="392"/>
      <c r="B149" s="396"/>
      <c r="C149" s="357" t="s">
        <v>404</v>
      </c>
    </row>
    <row r="150" spans="1:3" s="190" customFormat="1" ht="25.5" customHeight="1">
      <c r="A150" s="392"/>
      <c r="B150" s="396"/>
      <c r="C150" s="334" t="s">
        <v>413</v>
      </c>
    </row>
    <row r="151" spans="1:3" s="190" customFormat="1" ht="15" customHeight="1">
      <c r="A151" s="193"/>
      <c r="B151" s="301" t="s">
        <v>9</v>
      </c>
      <c r="C151" s="215"/>
    </row>
    <row r="152" spans="1:3" s="190" customFormat="1" ht="25.5" customHeight="1">
      <c r="A152" s="392">
        <v>53</v>
      </c>
      <c r="B152" s="396" t="s">
        <v>182</v>
      </c>
      <c r="C152" s="357" t="s">
        <v>365</v>
      </c>
    </row>
    <row r="153" spans="1:3" s="190" customFormat="1" ht="25.5" customHeight="1">
      <c r="A153" s="392"/>
      <c r="B153" s="396"/>
      <c r="C153" s="334" t="s">
        <v>384</v>
      </c>
    </row>
    <row r="154" spans="1:3" s="190" customFormat="1" ht="25.5" customHeight="1">
      <c r="A154" s="392"/>
      <c r="B154" s="396"/>
      <c r="C154" s="332" t="s">
        <v>414</v>
      </c>
    </row>
    <row r="155" spans="1:3" s="190" customFormat="1" ht="15" customHeight="1">
      <c r="A155" s="193"/>
      <c r="B155" s="301" t="s">
        <v>9</v>
      </c>
      <c r="C155" s="215"/>
    </row>
    <row r="156" spans="1:3" s="190" customFormat="1" ht="25.5" customHeight="1">
      <c r="A156" s="389">
        <v>54</v>
      </c>
      <c r="B156" s="386" t="s">
        <v>186</v>
      </c>
      <c r="C156" s="280" t="s">
        <v>414</v>
      </c>
    </row>
    <row r="157" spans="1:3" s="190" customFormat="1" ht="25.5" customHeight="1">
      <c r="A157" s="391"/>
      <c r="B157" s="388"/>
      <c r="C157" s="280" t="s">
        <v>415</v>
      </c>
    </row>
    <row r="158" spans="1:3" s="190" customFormat="1" ht="15" customHeight="1">
      <c r="A158" s="193"/>
      <c r="B158" s="301" t="s">
        <v>9</v>
      </c>
      <c r="C158" s="215"/>
    </row>
    <row r="159" spans="1:3" s="190" customFormat="1" ht="25.5" customHeight="1">
      <c r="A159" s="392">
        <v>55</v>
      </c>
      <c r="B159" s="396" t="s">
        <v>281</v>
      </c>
      <c r="C159" s="332" t="s">
        <v>414</v>
      </c>
    </row>
    <row r="160" spans="1:3" s="190" customFormat="1" ht="25.5" customHeight="1">
      <c r="A160" s="392"/>
      <c r="B160" s="396"/>
      <c r="C160" s="334" t="s">
        <v>384</v>
      </c>
    </row>
    <row r="161" spans="1:3" s="190" customFormat="1" ht="25.5" customHeight="1">
      <c r="A161" s="392"/>
      <c r="B161" s="396"/>
      <c r="C161" s="294" t="s">
        <v>416</v>
      </c>
    </row>
    <row r="162" spans="1:3" s="190" customFormat="1" ht="15" customHeight="1">
      <c r="A162" s="193"/>
      <c r="B162" s="301" t="s">
        <v>9</v>
      </c>
      <c r="C162" s="215"/>
    </row>
    <row r="163" spans="1:3" s="190" customFormat="1" ht="25.5" customHeight="1">
      <c r="A163" s="184">
        <v>56</v>
      </c>
      <c r="B163" s="351" t="s">
        <v>193</v>
      </c>
      <c r="C163" s="335"/>
    </row>
    <row r="164" spans="1:3" s="190" customFormat="1" ht="15" customHeight="1">
      <c r="A164" s="193"/>
      <c r="B164" s="301" t="s">
        <v>9</v>
      </c>
      <c r="C164" s="215"/>
    </row>
    <row r="165" spans="1:3" s="190" customFormat="1" ht="25.5" customHeight="1">
      <c r="A165" s="389">
        <v>57</v>
      </c>
      <c r="B165" s="383" t="s">
        <v>278</v>
      </c>
      <c r="C165" s="335" t="s">
        <v>418</v>
      </c>
    </row>
    <row r="166" spans="1:3" s="190" customFormat="1" ht="25.5" customHeight="1">
      <c r="A166" s="391"/>
      <c r="B166" s="385"/>
      <c r="C166" s="280" t="s">
        <v>417</v>
      </c>
    </row>
    <row r="167" spans="1:3" s="190" customFormat="1" ht="15" customHeight="1">
      <c r="A167" s="193"/>
      <c r="B167" s="301" t="s">
        <v>9</v>
      </c>
      <c r="C167" s="239"/>
    </row>
    <row r="168" spans="1:3" s="190" customFormat="1" ht="25.5" customHeight="1">
      <c r="A168" s="392">
        <v>58</v>
      </c>
      <c r="B168" s="400" t="s">
        <v>200</v>
      </c>
      <c r="C168" s="280" t="s">
        <v>419</v>
      </c>
    </row>
    <row r="169" spans="1:3" s="190" customFormat="1" ht="25.5" customHeight="1">
      <c r="A169" s="392"/>
      <c r="B169" s="400"/>
      <c r="C169" s="280" t="s">
        <v>420</v>
      </c>
    </row>
    <row r="170" spans="1:3" s="190" customFormat="1" ht="15" customHeight="1">
      <c r="A170" s="193"/>
      <c r="B170" s="301" t="s">
        <v>9</v>
      </c>
      <c r="C170" s="239"/>
    </row>
    <row r="171" spans="1:3" s="190" customFormat="1" ht="25.5" customHeight="1">
      <c r="A171" s="184">
        <v>59</v>
      </c>
      <c r="B171" s="351" t="s">
        <v>204</v>
      </c>
      <c r="C171" s="332" t="s">
        <v>421</v>
      </c>
    </row>
    <row r="172" spans="1:3" s="190" customFormat="1" ht="15" customHeight="1">
      <c r="A172" s="193"/>
      <c r="B172" s="301" t="s">
        <v>9</v>
      </c>
      <c r="C172" s="239"/>
    </row>
    <row r="173" spans="1:3" s="190" customFormat="1" ht="25.5" customHeight="1">
      <c r="A173" s="184">
        <v>60</v>
      </c>
      <c r="B173" s="351" t="s">
        <v>209</v>
      </c>
      <c r="C173" s="332" t="s">
        <v>421</v>
      </c>
    </row>
    <row r="174" spans="1:3" s="190" customFormat="1" ht="15" customHeight="1">
      <c r="A174" s="193"/>
      <c r="B174" s="301" t="s">
        <v>9</v>
      </c>
      <c r="C174" s="239"/>
    </row>
    <row r="175" spans="1:3" s="190" customFormat="1" ht="25.5" customHeight="1">
      <c r="A175" s="184">
        <v>61</v>
      </c>
      <c r="B175" s="351" t="s">
        <v>214</v>
      </c>
      <c r="C175" s="332" t="s">
        <v>421</v>
      </c>
    </row>
    <row r="176" spans="1:3" s="190" customFormat="1" ht="15" customHeight="1">
      <c r="A176" s="193"/>
      <c r="B176" s="301" t="s">
        <v>9</v>
      </c>
      <c r="C176" s="239"/>
    </row>
    <row r="177" spans="1:3" s="190" customFormat="1" ht="25.5" customHeight="1">
      <c r="A177" s="184">
        <v>62</v>
      </c>
      <c r="B177" s="352" t="s">
        <v>217</v>
      </c>
      <c r="C177" s="335"/>
    </row>
    <row r="178" spans="1:3" s="190" customFormat="1" ht="15" customHeight="1">
      <c r="A178" s="193"/>
      <c r="B178" s="301" t="s">
        <v>9</v>
      </c>
      <c r="C178" s="239"/>
    </row>
    <row r="179" spans="1:3" s="190" customFormat="1" ht="25.5" customHeight="1">
      <c r="A179" s="184">
        <v>63</v>
      </c>
      <c r="B179" s="351" t="s">
        <v>222</v>
      </c>
      <c r="C179" s="294" t="s">
        <v>384</v>
      </c>
    </row>
    <row r="180" spans="1:3" s="190" customFormat="1" ht="15" customHeight="1">
      <c r="A180" s="193"/>
      <c r="B180" s="301" t="s">
        <v>9</v>
      </c>
      <c r="C180" s="239"/>
    </row>
    <row r="181" spans="1:3" s="190" customFormat="1" ht="25.5" customHeight="1">
      <c r="A181" s="184">
        <v>64</v>
      </c>
      <c r="B181" s="351" t="s">
        <v>225</v>
      </c>
      <c r="C181" s="280" t="s">
        <v>422</v>
      </c>
    </row>
    <row r="182" spans="1:3" s="190" customFormat="1" ht="15" customHeight="1">
      <c r="A182" s="193"/>
      <c r="B182" s="301" t="s">
        <v>9</v>
      </c>
      <c r="C182" s="239"/>
    </row>
    <row r="183" spans="1:3" s="190" customFormat="1" ht="25.5" customHeight="1">
      <c r="A183" s="184">
        <v>65</v>
      </c>
      <c r="B183" s="352" t="s">
        <v>229</v>
      </c>
      <c r="C183" s="332" t="s">
        <v>423</v>
      </c>
    </row>
    <row r="184" spans="1:3" s="190" customFormat="1" ht="15" customHeight="1">
      <c r="A184" s="193"/>
      <c r="B184" s="301" t="s">
        <v>9</v>
      </c>
      <c r="C184" s="239"/>
    </row>
    <row r="185" spans="1:3" s="190" customFormat="1" ht="40.5" customHeight="1">
      <c r="A185" s="392">
        <v>66</v>
      </c>
      <c r="B185" s="400" t="s">
        <v>232</v>
      </c>
      <c r="C185" s="280" t="s">
        <v>425</v>
      </c>
    </row>
    <row r="186" spans="1:3" s="190" customFormat="1" ht="25.5" customHeight="1">
      <c r="A186" s="392"/>
      <c r="B186" s="400"/>
      <c r="C186" s="280" t="s">
        <v>424</v>
      </c>
    </row>
    <row r="187" spans="1:3" s="190" customFormat="1" ht="15" customHeight="1">
      <c r="A187" s="193"/>
      <c r="B187" s="301" t="s">
        <v>9</v>
      </c>
      <c r="C187" s="239"/>
    </row>
    <row r="188" spans="1:3" s="190" customFormat="1" ht="25.5" customHeight="1">
      <c r="A188" s="184">
        <v>67</v>
      </c>
      <c r="B188" s="352" t="s">
        <v>238</v>
      </c>
      <c r="C188" s="280"/>
    </row>
    <row r="189" spans="1:3" s="190" customFormat="1" ht="15" customHeight="1">
      <c r="A189" s="193"/>
      <c r="B189" s="301" t="s">
        <v>9</v>
      </c>
      <c r="C189" s="239"/>
    </row>
    <row r="190" spans="1:3" s="190" customFormat="1" ht="25.5" customHeight="1">
      <c r="A190" s="184">
        <v>68</v>
      </c>
      <c r="B190" s="353" t="s">
        <v>240</v>
      </c>
      <c r="C190" s="280" t="s">
        <v>426</v>
      </c>
    </row>
    <row r="191" spans="1:3" s="190" customFormat="1" ht="15" customHeight="1">
      <c r="A191" s="193"/>
      <c r="B191" s="301" t="s">
        <v>9</v>
      </c>
      <c r="C191" s="239"/>
    </row>
    <row r="192" spans="1:3" s="190" customFormat="1" ht="25.5" customHeight="1">
      <c r="A192" s="184">
        <v>69</v>
      </c>
      <c r="B192" s="352" t="s">
        <v>279</v>
      </c>
      <c r="C192" s="280"/>
    </row>
    <row r="193" spans="1:3" s="190" customFormat="1" ht="15" customHeight="1">
      <c r="A193" s="193"/>
      <c r="B193" s="301" t="s">
        <v>9</v>
      </c>
      <c r="C193" s="194"/>
    </row>
    <row r="194" spans="1:3" s="190" customFormat="1" ht="25.5" customHeight="1">
      <c r="A194" s="184">
        <v>70</v>
      </c>
      <c r="B194" s="352" t="s">
        <v>250</v>
      </c>
      <c r="C194" s="294" t="s">
        <v>427</v>
      </c>
    </row>
    <row r="195" spans="1:3" s="190" customFormat="1" ht="15" customHeight="1">
      <c r="A195" s="193"/>
      <c r="B195" s="301" t="s">
        <v>9</v>
      </c>
      <c r="C195" s="239"/>
    </row>
    <row r="196" spans="1:3" s="190" customFormat="1" ht="25.5" customHeight="1">
      <c r="A196" s="184">
        <v>71</v>
      </c>
      <c r="B196" s="351" t="s">
        <v>253</v>
      </c>
      <c r="C196" s="335"/>
    </row>
    <row r="197" spans="1:3" s="190" customFormat="1" ht="15" customHeight="1">
      <c r="A197" s="193"/>
      <c r="B197" s="301" t="s">
        <v>9</v>
      </c>
      <c r="C197" s="239"/>
    </row>
    <row r="198" spans="1:3" s="190" customFormat="1" ht="25.5" customHeight="1">
      <c r="A198" s="389">
        <v>72</v>
      </c>
      <c r="B198" s="383" t="s">
        <v>261</v>
      </c>
      <c r="C198" s="280" t="s">
        <v>428</v>
      </c>
    </row>
    <row r="199" spans="1:3" s="190" customFormat="1" ht="25.5" customHeight="1">
      <c r="A199" s="390"/>
      <c r="B199" s="384"/>
      <c r="C199" s="335" t="s">
        <v>391</v>
      </c>
    </row>
    <row r="200" spans="1:3" s="190" customFormat="1" ht="25.5" customHeight="1">
      <c r="A200" s="390"/>
      <c r="B200" s="384"/>
      <c r="C200" s="280" t="s">
        <v>422</v>
      </c>
    </row>
    <row r="201" spans="1:3" s="190" customFormat="1" ht="25.5" customHeight="1">
      <c r="A201" s="391"/>
      <c r="B201" s="385"/>
      <c r="C201" s="280" t="s">
        <v>421</v>
      </c>
    </row>
    <row r="202" spans="1:3" s="190" customFormat="1" ht="15" customHeight="1">
      <c r="A202" s="399"/>
      <c r="B202" s="301" t="s">
        <v>9</v>
      </c>
      <c r="C202" s="215"/>
    </row>
    <row r="203" spans="1:3" s="190" customFormat="1" ht="12.75">
      <c r="A203" s="399"/>
      <c r="B203" s="303" t="s">
        <v>272</v>
      </c>
      <c r="C203" s="245"/>
    </row>
    <row r="204" spans="1:3" s="190" customFormat="1" ht="12.75">
      <c r="A204" s="399"/>
      <c r="B204" s="304" t="s">
        <v>274</v>
      </c>
      <c r="C204" s="247" t="s">
        <v>429</v>
      </c>
    </row>
    <row r="205" spans="1:3" s="190" customFormat="1" ht="12.75">
      <c r="A205" s="229"/>
      <c r="B205" s="305"/>
      <c r="C205" s="250"/>
    </row>
    <row r="206" spans="2:3" s="339" customFormat="1" ht="12.75">
      <c r="B206" s="308"/>
      <c r="C206" s="340"/>
    </row>
    <row r="207" spans="2:3" s="339" customFormat="1" ht="12.75">
      <c r="B207" s="308"/>
      <c r="C207" s="340"/>
    </row>
    <row r="208" spans="2:3" s="339" customFormat="1" ht="12.75">
      <c r="B208" s="308"/>
      <c r="C208" s="340"/>
    </row>
    <row r="209" spans="2:3" s="339" customFormat="1" ht="12.75">
      <c r="B209" s="308"/>
      <c r="C209" s="340"/>
    </row>
    <row r="210" spans="2:3" s="339" customFormat="1" ht="12.75">
      <c r="B210" s="308"/>
      <c r="C210" s="340"/>
    </row>
    <row r="211" spans="2:3" s="339" customFormat="1" ht="12.75">
      <c r="B211" s="308"/>
      <c r="C211" s="349"/>
    </row>
    <row r="212" spans="2:3" s="190" customFormat="1" ht="12.75">
      <c r="B212" s="308"/>
      <c r="C212" s="350"/>
    </row>
    <row r="213" spans="2:3" s="190" customFormat="1" ht="12.75">
      <c r="B213" s="308"/>
      <c r="C213" s="350"/>
    </row>
    <row r="214" spans="2:3" s="190" customFormat="1" ht="12.75">
      <c r="B214" s="308"/>
      <c r="C214" s="350"/>
    </row>
    <row r="215" spans="2:3" s="190" customFormat="1" ht="12.75">
      <c r="B215" s="308"/>
      <c r="C215" s="265"/>
    </row>
    <row r="216" spans="2:3" s="190" customFormat="1" ht="12.75">
      <c r="B216" s="308"/>
      <c r="C216" s="265"/>
    </row>
  </sheetData>
  <sheetProtection/>
  <mergeCells count="68">
    <mergeCell ref="B59:B62"/>
    <mergeCell ref="A59:A62"/>
    <mergeCell ref="B14:B16"/>
    <mergeCell ref="A14:A16"/>
    <mergeCell ref="B34:B35"/>
    <mergeCell ref="A34:A35"/>
    <mergeCell ref="A18:A19"/>
    <mergeCell ref="B18:B19"/>
    <mergeCell ref="B8:B9"/>
    <mergeCell ref="A8:A9"/>
    <mergeCell ref="B42:B43"/>
    <mergeCell ref="A42:A43"/>
    <mergeCell ref="B11:B12"/>
    <mergeCell ref="A11:A12"/>
    <mergeCell ref="B21:B23"/>
    <mergeCell ref="A21:A23"/>
    <mergeCell ref="A37:A38"/>
    <mergeCell ref="B185:B186"/>
    <mergeCell ref="A185:A186"/>
    <mergeCell ref="B25:B26"/>
    <mergeCell ref="A51:A53"/>
    <mergeCell ref="B159:B161"/>
    <mergeCell ref="B74:B75"/>
    <mergeCell ref="A74:A75"/>
    <mergeCell ref="B47:B49"/>
    <mergeCell ref="A47:A49"/>
    <mergeCell ref="A202:A204"/>
    <mergeCell ref="B168:B169"/>
    <mergeCell ref="A168:A169"/>
    <mergeCell ref="A1:C1"/>
    <mergeCell ref="B55:B57"/>
    <mergeCell ref="B5:B6"/>
    <mergeCell ref="A5:A6"/>
    <mergeCell ref="A141:A144"/>
    <mergeCell ref="B51:B53"/>
    <mergeCell ref="B81:B82"/>
    <mergeCell ref="A81:A82"/>
    <mergeCell ref="A25:A26"/>
    <mergeCell ref="B37:B38"/>
    <mergeCell ref="B84:B88"/>
    <mergeCell ref="A84:A88"/>
    <mergeCell ref="A159:A161"/>
    <mergeCell ref="B152:B154"/>
    <mergeCell ref="A152:A154"/>
    <mergeCell ref="A198:A201"/>
    <mergeCell ref="A114:A115"/>
    <mergeCell ref="B148:B150"/>
    <mergeCell ref="A148:A150"/>
    <mergeCell ref="B131:B135"/>
    <mergeCell ref="A131:A135"/>
    <mergeCell ref="B141:B144"/>
    <mergeCell ref="B117:B118"/>
    <mergeCell ref="A117:A118"/>
    <mergeCell ref="B126:B127"/>
    <mergeCell ref="A126:A127"/>
    <mergeCell ref="A55:A57"/>
    <mergeCell ref="B104:B105"/>
    <mergeCell ref="A104:A105"/>
    <mergeCell ref="B107:B108"/>
    <mergeCell ref="A107:A108"/>
    <mergeCell ref="B114:B115"/>
    <mergeCell ref="B198:B201"/>
    <mergeCell ref="B137:B139"/>
    <mergeCell ref="A137:A139"/>
    <mergeCell ref="B156:B157"/>
    <mergeCell ref="A156:A157"/>
    <mergeCell ref="B165:B166"/>
    <mergeCell ref="A165:A166"/>
  </mergeCells>
  <printOptions/>
  <pageMargins left="0.984251968503937" right="0" top="0.5905511811023623" bottom="0.5905511811023623" header="0.5118110236220472" footer="0.5118110236220472"/>
  <pageSetup horizontalDpi="600" verticalDpi="600" orientation="portrait" pageOrder="overThenDown" paperSize="9" scale="70" r:id="rId1"/>
  <headerFooter alignWithMargins="0">
    <oddFooter>&amp;CStrona &amp;P z &amp;N</oddFooter>
  </headerFooter>
  <rowBreaks count="6" manualBreakCount="6">
    <brk id="31" max="6" man="1"/>
    <brk id="76" max="6" man="1"/>
    <brk id="116" max="6" man="1"/>
    <brk id="147" max="6" man="1"/>
    <brk id="189" max="6" man="1"/>
    <brk id="20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08"/>
  <sheetViews>
    <sheetView zoomScale="130" zoomScaleNormal="130" zoomScaleSheetLayoutView="70" workbookViewId="0" topLeftCell="A1">
      <selection activeCell="I5" sqref="I5"/>
    </sheetView>
  </sheetViews>
  <sheetFormatPr defaultColWidth="9.00390625" defaultRowHeight="15.75"/>
  <cols>
    <col min="1" max="1" width="3.00390625" style="169" bestFit="1" customWidth="1"/>
    <col min="2" max="2" width="13.875" style="310" customWidth="1"/>
    <col min="3" max="3" width="25.125" style="170" customWidth="1"/>
    <col min="4" max="4" width="12.25390625" style="171" customWidth="1"/>
    <col min="5" max="5" width="12.375" style="172" customWidth="1"/>
    <col min="6" max="6" width="13.625" style="171" customWidth="1"/>
    <col min="7" max="7" width="11.00390625" style="323" customWidth="1"/>
    <col min="8" max="16" width="9.00390625" style="169" customWidth="1"/>
    <col min="17" max="16384" width="9.00390625" style="168" customWidth="1"/>
  </cols>
  <sheetData>
    <row r="1" spans="1:16" s="174" customFormat="1" ht="12.75">
      <c r="A1" s="397" t="s">
        <v>356</v>
      </c>
      <c r="B1" s="397"/>
      <c r="C1" s="397"/>
      <c r="D1" s="397"/>
      <c r="E1" s="397"/>
      <c r="F1" s="397"/>
      <c r="G1" s="397"/>
      <c r="H1" s="343"/>
      <c r="I1" s="343"/>
      <c r="J1" s="343"/>
      <c r="K1" s="343"/>
      <c r="L1" s="343"/>
      <c r="M1" s="343"/>
      <c r="N1" s="343"/>
      <c r="O1" s="343"/>
      <c r="P1" s="343"/>
    </row>
    <row r="2" spans="1:16" s="174" customFormat="1" ht="13.5" customHeight="1">
      <c r="A2" s="173"/>
      <c r="B2" s="299"/>
      <c r="C2" s="173"/>
      <c r="D2" s="290"/>
      <c r="E2" s="173"/>
      <c r="F2" s="173"/>
      <c r="G2" s="312"/>
      <c r="H2" s="343"/>
      <c r="I2" s="343"/>
      <c r="J2" s="343"/>
      <c r="K2" s="343"/>
      <c r="L2" s="343"/>
      <c r="M2" s="343"/>
      <c r="N2" s="343"/>
      <c r="O2" s="343"/>
      <c r="P2" s="343"/>
    </row>
    <row r="3" spans="1:16" s="174" customFormat="1" ht="12.75">
      <c r="A3" s="175"/>
      <c r="B3" s="300" t="s">
        <v>271</v>
      </c>
      <c r="C3" s="176"/>
      <c r="D3" s="177"/>
      <c r="E3" s="178"/>
      <c r="F3" s="177"/>
      <c r="G3" s="313"/>
      <c r="H3" s="343"/>
      <c r="I3" s="343"/>
      <c r="J3" s="343"/>
      <c r="K3" s="343"/>
      <c r="L3" s="343"/>
      <c r="M3" s="343"/>
      <c r="N3" s="343"/>
      <c r="O3" s="343"/>
      <c r="P3" s="343"/>
    </row>
    <row r="4" spans="1:16" s="174" customFormat="1" ht="25.5">
      <c r="A4" s="179" t="s">
        <v>280</v>
      </c>
      <c r="B4" s="180" t="s">
        <v>1</v>
      </c>
      <c r="C4" s="180" t="s">
        <v>8</v>
      </c>
      <c r="D4" s="181" t="s">
        <v>270</v>
      </c>
      <c r="E4" s="182" t="s">
        <v>3</v>
      </c>
      <c r="F4" s="183" t="s">
        <v>6</v>
      </c>
      <c r="G4" s="314" t="s">
        <v>273</v>
      </c>
      <c r="H4" s="343"/>
      <c r="I4" s="343"/>
      <c r="J4" s="343"/>
      <c r="K4" s="343"/>
      <c r="L4" s="343"/>
      <c r="M4" s="343"/>
      <c r="N4" s="343"/>
      <c r="O4" s="343"/>
      <c r="P4" s="343"/>
    </row>
    <row r="5" spans="1:16" s="190" customFormat="1" ht="25.5">
      <c r="A5" s="392">
        <v>1</v>
      </c>
      <c r="B5" s="396" t="s">
        <v>74</v>
      </c>
      <c r="C5" s="280" t="s">
        <v>322</v>
      </c>
      <c r="D5" s="296">
        <v>5159.55649</v>
      </c>
      <c r="E5" s="187">
        <f>5176.01+23.96*1.23+14.14</f>
        <v>5219.620800000001</v>
      </c>
      <c r="F5" s="188">
        <f>D5-E5</f>
        <v>-60.06431000000066</v>
      </c>
      <c r="G5" s="237" t="s">
        <v>258</v>
      </c>
      <c r="H5" s="229"/>
      <c r="I5" s="229"/>
      <c r="J5" s="229"/>
      <c r="K5" s="229"/>
      <c r="L5" s="229"/>
      <c r="M5" s="229"/>
      <c r="N5" s="229"/>
      <c r="O5" s="229"/>
      <c r="P5" s="229"/>
    </row>
    <row r="6" spans="1:16" s="190" customFormat="1" ht="25.5">
      <c r="A6" s="392"/>
      <c r="B6" s="396"/>
      <c r="C6" s="280" t="s">
        <v>287</v>
      </c>
      <c r="D6" s="296">
        <v>5250</v>
      </c>
      <c r="E6" s="187">
        <f>1.3+4698</f>
        <v>4699.3</v>
      </c>
      <c r="F6" s="188">
        <f>D6-E6</f>
        <v>550.6999999999998</v>
      </c>
      <c r="G6" s="237" t="s">
        <v>258</v>
      </c>
      <c r="H6" s="229"/>
      <c r="I6" s="229"/>
      <c r="J6" s="229"/>
      <c r="K6" s="229"/>
      <c r="L6" s="229"/>
      <c r="M6" s="229"/>
      <c r="N6" s="229"/>
      <c r="O6" s="229"/>
      <c r="P6" s="229"/>
    </row>
    <row r="7" spans="1:16" s="190" customFormat="1" ht="25.5">
      <c r="A7" s="392"/>
      <c r="B7" s="396"/>
      <c r="C7" s="280" t="s">
        <v>323</v>
      </c>
      <c r="D7" s="296">
        <v>1836</v>
      </c>
      <c r="E7" s="187">
        <v>1836</v>
      </c>
      <c r="F7" s="188">
        <f>D7-E7</f>
        <v>0</v>
      </c>
      <c r="G7" s="237" t="s">
        <v>258</v>
      </c>
      <c r="H7" s="229"/>
      <c r="I7" s="229"/>
      <c r="J7" s="229"/>
      <c r="K7" s="229"/>
      <c r="L7" s="229"/>
      <c r="M7" s="229"/>
      <c r="N7" s="229"/>
      <c r="O7" s="229"/>
      <c r="P7" s="229"/>
    </row>
    <row r="8" spans="1:16" s="190" customFormat="1" ht="25.5">
      <c r="A8" s="392"/>
      <c r="B8" s="396"/>
      <c r="C8" s="280" t="s">
        <v>320</v>
      </c>
      <c r="D8" s="296"/>
      <c r="E8" s="187">
        <v>157.33</v>
      </c>
      <c r="F8" s="188">
        <f>D8-E8</f>
        <v>-157.33</v>
      </c>
      <c r="G8" s="237" t="s">
        <v>258</v>
      </c>
      <c r="H8" s="229"/>
      <c r="I8" s="229"/>
      <c r="J8" s="229"/>
      <c r="K8" s="229"/>
      <c r="L8" s="229"/>
      <c r="M8" s="229"/>
      <c r="N8" s="229"/>
      <c r="O8" s="229"/>
      <c r="P8" s="229"/>
    </row>
    <row r="9" spans="1:16" s="190" customFormat="1" ht="38.25">
      <c r="A9" s="392"/>
      <c r="B9" s="396"/>
      <c r="C9" s="280" t="s">
        <v>324</v>
      </c>
      <c r="D9" s="296">
        <v>6672.75</v>
      </c>
      <c r="E9" s="187">
        <f>5425*1.23</f>
        <v>6672.75</v>
      </c>
      <c r="F9" s="188">
        <f>D9-E9</f>
        <v>0</v>
      </c>
      <c r="G9" s="237" t="s">
        <v>353</v>
      </c>
      <c r="H9" s="229"/>
      <c r="I9" s="229"/>
      <c r="J9" s="229"/>
      <c r="K9" s="229"/>
      <c r="L9" s="229"/>
      <c r="M9" s="229"/>
      <c r="N9" s="229"/>
      <c r="O9" s="229"/>
      <c r="P9" s="229"/>
    </row>
    <row r="10" spans="1:16" s="190" customFormat="1" ht="12.75">
      <c r="A10" s="193"/>
      <c r="B10" s="301" t="s">
        <v>9</v>
      </c>
      <c r="C10" s="194"/>
      <c r="D10" s="195">
        <f>SUM(D5:D9)-0.56</f>
        <v>18917.746489999998</v>
      </c>
      <c r="E10" s="195">
        <f>SUM(E5:E9)</f>
        <v>18585.0008</v>
      </c>
      <c r="F10" s="195">
        <f>SUM(F5:F9)-0.56</f>
        <v>332.7456899999991</v>
      </c>
      <c r="G10" s="237"/>
      <c r="H10" s="229"/>
      <c r="I10" s="229"/>
      <c r="J10" s="229"/>
      <c r="K10" s="229"/>
      <c r="L10" s="229"/>
      <c r="M10" s="229"/>
      <c r="N10" s="229"/>
      <c r="O10" s="229"/>
      <c r="P10" s="229"/>
    </row>
    <row r="11" spans="1:16" s="190" customFormat="1" ht="25.5">
      <c r="A11" s="389">
        <v>2</v>
      </c>
      <c r="B11" s="396" t="s">
        <v>80</v>
      </c>
      <c r="C11" s="280" t="s">
        <v>325</v>
      </c>
      <c r="D11" s="296">
        <f>5990.75*1.07+5990.75*0.5%*1.23+3</f>
        <v>6449.9456125</v>
      </c>
      <c r="E11" s="200">
        <f>6470.01+29.96*1.23+18.13</f>
        <v>6524.9908000000005</v>
      </c>
      <c r="F11" s="201">
        <f>D11-E11</f>
        <v>-75.0451875000008</v>
      </c>
      <c r="G11" s="237" t="s">
        <v>258</v>
      </c>
      <c r="H11" s="229"/>
      <c r="I11" s="229"/>
      <c r="J11" s="229"/>
      <c r="K11" s="229"/>
      <c r="L11" s="229"/>
      <c r="M11" s="229"/>
      <c r="N11" s="229"/>
      <c r="O11" s="229"/>
      <c r="P11" s="229"/>
    </row>
    <row r="12" spans="1:16" s="190" customFormat="1" ht="25.5">
      <c r="A12" s="390"/>
      <c r="B12" s="396"/>
      <c r="C12" s="327" t="s">
        <v>319</v>
      </c>
      <c r="D12" s="328">
        <v>119500</v>
      </c>
      <c r="E12" s="200">
        <f>6.21+(61400*1.23)+(61400*0.5%*1.23)</f>
        <v>75905.82</v>
      </c>
      <c r="F12" s="201">
        <f>D12-E12</f>
        <v>43594.17999999999</v>
      </c>
      <c r="G12" s="237" t="s">
        <v>258</v>
      </c>
      <c r="H12" s="229"/>
      <c r="I12" s="229"/>
      <c r="J12" s="229"/>
      <c r="K12" s="229"/>
      <c r="L12" s="229"/>
      <c r="M12" s="229"/>
      <c r="N12" s="229"/>
      <c r="O12" s="229"/>
      <c r="P12" s="229"/>
    </row>
    <row r="13" spans="1:16" s="190" customFormat="1" ht="25.5">
      <c r="A13" s="390"/>
      <c r="B13" s="396"/>
      <c r="C13" s="280" t="s">
        <v>287</v>
      </c>
      <c r="D13" s="291">
        <v>6800</v>
      </c>
      <c r="E13" s="200">
        <f>1.66+4698</f>
        <v>4699.66</v>
      </c>
      <c r="F13" s="201">
        <f>D13-E13</f>
        <v>2100.34</v>
      </c>
      <c r="G13" s="237" t="s">
        <v>258</v>
      </c>
      <c r="H13" s="229"/>
      <c r="I13" s="229"/>
      <c r="J13" s="229"/>
      <c r="K13" s="229"/>
      <c r="L13" s="229"/>
      <c r="M13" s="229"/>
      <c r="N13" s="229"/>
      <c r="O13" s="229"/>
      <c r="P13" s="229"/>
    </row>
    <row r="14" spans="1:16" s="190" customFormat="1" ht="38.25">
      <c r="A14" s="391"/>
      <c r="B14" s="396"/>
      <c r="C14" s="280" t="s">
        <v>324</v>
      </c>
      <c r="D14" s="291">
        <v>6672.75</v>
      </c>
      <c r="E14" s="187">
        <f>5425*1.23</f>
        <v>6672.75</v>
      </c>
      <c r="F14" s="201">
        <f>D14-E14</f>
        <v>0</v>
      </c>
      <c r="G14" s="237" t="s">
        <v>353</v>
      </c>
      <c r="H14" s="229"/>
      <c r="I14" s="229"/>
      <c r="J14" s="229"/>
      <c r="K14" s="229"/>
      <c r="L14" s="229"/>
      <c r="M14" s="229"/>
      <c r="N14" s="229"/>
      <c r="O14" s="229"/>
      <c r="P14" s="229"/>
    </row>
    <row r="15" spans="1:16" s="190" customFormat="1" ht="12.75">
      <c r="A15" s="193"/>
      <c r="B15" s="301" t="s">
        <v>9</v>
      </c>
      <c r="C15" s="194"/>
      <c r="D15" s="195">
        <f>SUM(D11:D14)+1.05</f>
        <v>139423.7456125</v>
      </c>
      <c r="E15" s="202">
        <f>SUM(E11:E14)</f>
        <v>93803.22080000001</v>
      </c>
      <c r="F15" s="202">
        <f>SUM(F11:F14)+1.05</f>
        <v>45620.52481249999</v>
      </c>
      <c r="G15" s="237"/>
      <c r="H15" s="229"/>
      <c r="I15" s="229"/>
      <c r="J15" s="229"/>
      <c r="K15" s="229"/>
      <c r="L15" s="229"/>
      <c r="M15" s="229"/>
      <c r="N15" s="229"/>
      <c r="O15" s="229"/>
      <c r="P15" s="229"/>
    </row>
    <row r="16" spans="1:16" s="190" customFormat="1" ht="25.5">
      <c r="A16" s="389">
        <v>3</v>
      </c>
      <c r="B16" s="396" t="s">
        <v>82</v>
      </c>
      <c r="C16" s="280" t="s">
        <v>325</v>
      </c>
      <c r="D16" s="199">
        <v>7740.323973500001</v>
      </c>
      <c r="E16" s="201">
        <f>7764+35.94*1.23+26.03</f>
        <v>7834.236199999999</v>
      </c>
      <c r="F16" s="188">
        <f>D16-E16</f>
        <v>-93.91222649999872</v>
      </c>
      <c r="G16" s="237" t="s">
        <v>258</v>
      </c>
      <c r="H16" s="229"/>
      <c r="I16" s="229"/>
      <c r="J16" s="229"/>
      <c r="K16" s="229"/>
      <c r="L16" s="229"/>
      <c r="M16" s="229"/>
      <c r="N16" s="229"/>
      <c r="O16" s="229"/>
      <c r="P16" s="229"/>
    </row>
    <row r="17" spans="1:16" s="190" customFormat="1" ht="25.5">
      <c r="A17" s="390"/>
      <c r="B17" s="396"/>
      <c r="C17" s="280" t="s">
        <v>287</v>
      </c>
      <c r="D17" s="191">
        <v>6300</v>
      </c>
      <c r="E17" s="200">
        <f>2.38+5637.6</f>
        <v>5639.9800000000005</v>
      </c>
      <c r="F17" s="188">
        <f>D17-E17</f>
        <v>660.0199999999995</v>
      </c>
      <c r="G17" s="237" t="s">
        <v>258</v>
      </c>
      <c r="H17" s="229"/>
      <c r="I17" s="229"/>
      <c r="J17" s="229"/>
      <c r="K17" s="229"/>
      <c r="L17" s="229"/>
      <c r="M17" s="229"/>
      <c r="N17" s="229"/>
      <c r="O17" s="229"/>
      <c r="P17" s="229"/>
    </row>
    <row r="18" spans="1:16" s="190" customFormat="1" ht="26.25" customHeight="1">
      <c r="A18" s="390"/>
      <c r="B18" s="396"/>
      <c r="C18" s="280" t="s">
        <v>324</v>
      </c>
      <c r="D18" s="191">
        <v>6672.75</v>
      </c>
      <c r="E18" s="187">
        <f>5425*1.23</f>
        <v>6672.75</v>
      </c>
      <c r="F18" s="188">
        <f>D18-E18</f>
        <v>0</v>
      </c>
      <c r="G18" s="237" t="s">
        <v>353</v>
      </c>
      <c r="H18" s="229"/>
      <c r="I18" s="229"/>
      <c r="J18" s="229"/>
      <c r="K18" s="229"/>
      <c r="L18" s="229"/>
      <c r="M18" s="229"/>
      <c r="N18" s="229"/>
      <c r="O18" s="229"/>
      <c r="P18" s="229"/>
    </row>
    <row r="19" spans="1:16" s="190" customFormat="1" ht="25.5">
      <c r="A19" s="390"/>
      <c r="B19" s="396"/>
      <c r="C19" s="280" t="s">
        <v>320</v>
      </c>
      <c r="D19" s="191"/>
      <c r="E19" s="200">
        <v>122.21</v>
      </c>
      <c r="F19" s="188">
        <f>D19-E19</f>
        <v>-122.21</v>
      </c>
      <c r="G19" s="237" t="s">
        <v>258</v>
      </c>
      <c r="H19" s="229"/>
      <c r="I19" s="229"/>
      <c r="J19" s="229"/>
      <c r="K19" s="229"/>
      <c r="L19" s="229"/>
      <c r="M19" s="229"/>
      <c r="N19" s="229"/>
      <c r="O19" s="229"/>
      <c r="P19" s="229"/>
    </row>
    <row r="20" spans="1:16" s="190" customFormat="1" ht="51">
      <c r="A20" s="391"/>
      <c r="B20" s="396"/>
      <c r="C20" s="280" t="s">
        <v>326</v>
      </c>
      <c r="D20" s="291">
        <v>5000</v>
      </c>
      <c r="E20" s="200"/>
      <c r="F20" s="188">
        <f>D20-E20</f>
        <v>5000</v>
      </c>
      <c r="G20" s="237" t="s">
        <v>364</v>
      </c>
      <c r="H20" s="229"/>
      <c r="I20" s="229"/>
      <c r="J20" s="229"/>
      <c r="K20" s="229"/>
      <c r="L20" s="229"/>
      <c r="M20" s="229"/>
      <c r="N20" s="229"/>
      <c r="O20" s="229"/>
      <c r="P20" s="229"/>
    </row>
    <row r="21" spans="1:16" s="190" customFormat="1" ht="12.75">
      <c r="A21" s="193"/>
      <c r="B21" s="301" t="s">
        <v>9</v>
      </c>
      <c r="C21" s="194"/>
      <c r="D21" s="195">
        <f>SUM(D16:D20)-0.32</f>
        <v>25712.753973500003</v>
      </c>
      <c r="E21" s="202">
        <f>SUM(E16:E20)</f>
        <v>20269.176199999998</v>
      </c>
      <c r="F21" s="195">
        <f>SUM(F16:F20)-0.32</f>
        <v>5443.577773500001</v>
      </c>
      <c r="G21" s="237"/>
      <c r="H21" s="229"/>
      <c r="I21" s="229"/>
      <c r="J21" s="229"/>
      <c r="K21" s="229"/>
      <c r="L21" s="229"/>
      <c r="M21" s="229"/>
      <c r="N21" s="229"/>
      <c r="O21" s="229"/>
      <c r="P21" s="229"/>
    </row>
    <row r="22" spans="1:16" s="190" customFormat="1" ht="25.5">
      <c r="A22" s="389">
        <v>4</v>
      </c>
      <c r="B22" s="396" t="s">
        <v>85</v>
      </c>
      <c r="C22" s="280" t="s">
        <v>325</v>
      </c>
      <c r="D22" s="199">
        <v>11600.491341</v>
      </c>
      <c r="E22" s="203">
        <f>11646.01+53.92*1.23+25.44</f>
        <v>11737.7716</v>
      </c>
      <c r="F22" s="188">
        <f>D22-E22</f>
        <v>-137.2802589999992</v>
      </c>
      <c r="G22" s="237" t="s">
        <v>258</v>
      </c>
      <c r="H22" s="229"/>
      <c r="I22" s="229"/>
      <c r="J22" s="229"/>
      <c r="K22" s="229"/>
      <c r="L22" s="229"/>
      <c r="M22" s="229"/>
      <c r="N22" s="229"/>
      <c r="O22" s="229"/>
      <c r="P22" s="229"/>
    </row>
    <row r="23" spans="1:16" s="190" customFormat="1" ht="25.5">
      <c r="A23" s="390"/>
      <c r="B23" s="396"/>
      <c r="C23" s="280" t="s">
        <v>287</v>
      </c>
      <c r="D23" s="205">
        <v>9450</v>
      </c>
      <c r="E23" s="203">
        <f>2.33+8456.4</f>
        <v>8458.73</v>
      </c>
      <c r="F23" s="188">
        <f>D23-E23</f>
        <v>991.2700000000004</v>
      </c>
      <c r="G23" s="237" t="s">
        <v>258</v>
      </c>
      <c r="H23" s="229"/>
      <c r="I23" s="229"/>
      <c r="J23" s="229"/>
      <c r="K23" s="229"/>
      <c r="L23" s="229"/>
      <c r="M23" s="229"/>
      <c r="N23" s="229"/>
      <c r="O23" s="229"/>
      <c r="P23" s="229"/>
    </row>
    <row r="24" spans="1:16" s="190" customFormat="1" ht="38.25">
      <c r="A24" s="390"/>
      <c r="B24" s="396"/>
      <c r="C24" s="280" t="s">
        <v>324</v>
      </c>
      <c r="D24" s="191">
        <v>6672.75</v>
      </c>
      <c r="E24" s="187">
        <f>5425*1.23</f>
        <v>6672.75</v>
      </c>
      <c r="F24" s="188">
        <f>D24-E24</f>
        <v>0</v>
      </c>
      <c r="G24" s="237" t="s">
        <v>353</v>
      </c>
      <c r="H24" s="229"/>
      <c r="I24" s="229"/>
      <c r="J24" s="229"/>
      <c r="K24" s="229"/>
      <c r="L24" s="229"/>
      <c r="M24" s="229"/>
      <c r="N24" s="229"/>
      <c r="O24" s="229"/>
      <c r="P24" s="229"/>
    </row>
    <row r="25" spans="1:16" s="190" customFormat="1" ht="25.5">
      <c r="A25" s="390"/>
      <c r="B25" s="396"/>
      <c r="C25" s="280" t="s">
        <v>320</v>
      </c>
      <c r="D25" s="191"/>
      <c r="E25" s="203">
        <f>91.31+91.26+40.7+170.05+122.21</f>
        <v>515.53</v>
      </c>
      <c r="F25" s="188">
        <f>D25-E25</f>
        <v>-515.53</v>
      </c>
      <c r="G25" s="237" t="s">
        <v>258</v>
      </c>
      <c r="H25" s="229"/>
      <c r="I25" s="229"/>
      <c r="J25" s="229"/>
      <c r="K25" s="229"/>
      <c r="L25" s="229"/>
      <c r="M25" s="229"/>
      <c r="N25" s="229"/>
      <c r="O25" s="229"/>
      <c r="P25" s="229"/>
    </row>
    <row r="26" spans="1:16" s="190" customFormat="1" ht="51">
      <c r="A26" s="391"/>
      <c r="B26" s="396"/>
      <c r="C26" s="280" t="s">
        <v>326</v>
      </c>
      <c r="D26" s="291">
        <v>5000</v>
      </c>
      <c r="E26" s="203"/>
      <c r="F26" s="188">
        <f>D26-E26</f>
        <v>5000</v>
      </c>
      <c r="G26" s="237" t="s">
        <v>364</v>
      </c>
      <c r="H26" s="229"/>
      <c r="I26" s="229"/>
      <c r="J26" s="229"/>
      <c r="K26" s="229"/>
      <c r="L26" s="229"/>
      <c r="M26" s="229"/>
      <c r="N26" s="229"/>
      <c r="O26" s="229"/>
      <c r="P26" s="229"/>
    </row>
    <row r="27" spans="1:16" s="190" customFormat="1" ht="12.75">
      <c r="A27" s="193"/>
      <c r="B27" s="301" t="s">
        <v>9</v>
      </c>
      <c r="C27" s="194"/>
      <c r="D27" s="195">
        <f>SUM(D22:D26)-0.49</f>
        <v>32722.751341</v>
      </c>
      <c r="E27" s="195">
        <f>SUM(E22:E26)</f>
        <v>27384.7816</v>
      </c>
      <c r="F27" s="195">
        <f>SUM(F22:F26)-0.49</f>
        <v>5337.969741000002</v>
      </c>
      <c r="G27" s="237"/>
      <c r="H27" s="229"/>
      <c r="I27" s="229"/>
      <c r="J27" s="229"/>
      <c r="K27" s="229"/>
      <c r="L27" s="229"/>
      <c r="M27" s="229"/>
      <c r="N27" s="229"/>
      <c r="O27" s="229"/>
      <c r="P27" s="229"/>
    </row>
    <row r="28" spans="1:16" s="190" customFormat="1" ht="25.5">
      <c r="A28" s="389">
        <v>5</v>
      </c>
      <c r="B28" s="396" t="s">
        <v>87</v>
      </c>
      <c r="C28" s="280" t="s">
        <v>325</v>
      </c>
      <c r="D28" s="199">
        <v>9029.713096000001</v>
      </c>
      <c r="E28" s="187">
        <f>9058+1009.9+41.94*1.23+24.73</f>
        <v>10144.216199999999</v>
      </c>
      <c r="F28" s="201">
        <f>D28-E28</f>
        <v>-1114.5031039999976</v>
      </c>
      <c r="G28" s="237" t="s">
        <v>258</v>
      </c>
      <c r="H28" s="229"/>
      <c r="I28" s="229"/>
      <c r="J28" s="229"/>
      <c r="K28" s="229"/>
      <c r="L28" s="229"/>
      <c r="M28" s="229"/>
      <c r="N28" s="229"/>
      <c r="O28" s="229"/>
      <c r="P28" s="229"/>
    </row>
    <row r="29" spans="1:16" s="190" customFormat="1" ht="51">
      <c r="A29" s="390"/>
      <c r="B29" s="396"/>
      <c r="C29" s="280" t="s">
        <v>326</v>
      </c>
      <c r="D29" s="199">
        <v>5000</v>
      </c>
      <c r="E29" s="187"/>
      <c r="F29" s="201">
        <f>D29-E29</f>
        <v>5000</v>
      </c>
      <c r="G29" s="237" t="s">
        <v>364</v>
      </c>
      <c r="H29" s="229"/>
      <c r="I29" s="229"/>
      <c r="J29" s="229"/>
      <c r="K29" s="229"/>
      <c r="L29" s="229"/>
      <c r="M29" s="229"/>
      <c r="N29" s="229"/>
      <c r="O29" s="229"/>
      <c r="P29" s="229"/>
    </row>
    <row r="30" spans="1:16" s="190" customFormat="1" ht="38.25">
      <c r="A30" s="390"/>
      <c r="B30" s="396"/>
      <c r="C30" s="280" t="s">
        <v>324</v>
      </c>
      <c r="D30" s="199">
        <v>6672.75</v>
      </c>
      <c r="E30" s="187">
        <f>5425*1.23</f>
        <v>6672.75</v>
      </c>
      <c r="F30" s="201">
        <f>D30-E30</f>
        <v>0</v>
      </c>
      <c r="G30" s="237" t="s">
        <v>353</v>
      </c>
      <c r="H30" s="229"/>
      <c r="I30" s="229"/>
      <c r="J30" s="229"/>
      <c r="K30" s="229"/>
      <c r="L30" s="229"/>
      <c r="M30" s="229"/>
      <c r="N30" s="229"/>
      <c r="O30" s="229"/>
      <c r="P30" s="229"/>
    </row>
    <row r="31" spans="1:16" s="190" customFormat="1" ht="12.75">
      <c r="A31" s="193"/>
      <c r="B31" s="301" t="s">
        <v>9</v>
      </c>
      <c r="C31" s="194"/>
      <c r="D31" s="195">
        <f>SUM(D28:D30)+0.29</f>
        <v>20702.753096</v>
      </c>
      <c r="E31" s="202">
        <f>SUM(E28:E30)</f>
        <v>16816.9662</v>
      </c>
      <c r="F31" s="195">
        <f>SUM(F28:F30)+0.29</f>
        <v>3885.7868960000023</v>
      </c>
      <c r="G31" s="237"/>
      <c r="H31" s="229"/>
      <c r="I31" s="229"/>
      <c r="J31" s="229"/>
      <c r="K31" s="229"/>
      <c r="L31" s="229"/>
      <c r="M31" s="229"/>
      <c r="N31" s="229"/>
      <c r="O31" s="229"/>
      <c r="P31" s="229"/>
    </row>
    <row r="32" spans="1:16" s="190" customFormat="1" ht="25.5">
      <c r="A32" s="389">
        <v>6</v>
      </c>
      <c r="B32" s="396" t="s">
        <v>89</v>
      </c>
      <c r="C32" s="280" t="s">
        <v>287</v>
      </c>
      <c r="D32" s="199">
        <v>5250</v>
      </c>
      <c r="E32" s="200">
        <f>0.78+0.35+2818.8+935.1</f>
        <v>3755.03</v>
      </c>
      <c r="F32" s="201">
        <f>D32-E32</f>
        <v>1494.9699999999998</v>
      </c>
      <c r="G32" s="237" t="s">
        <v>258</v>
      </c>
      <c r="H32" s="229"/>
      <c r="I32" s="229"/>
      <c r="J32" s="229"/>
      <c r="K32" s="229"/>
      <c r="L32" s="229"/>
      <c r="M32" s="229"/>
      <c r="N32" s="229"/>
      <c r="O32" s="229"/>
      <c r="P32" s="229"/>
    </row>
    <row r="33" spans="1:16" s="190" customFormat="1" ht="38.25">
      <c r="A33" s="390"/>
      <c r="B33" s="396"/>
      <c r="C33" s="280" t="s">
        <v>324</v>
      </c>
      <c r="D33" s="296">
        <v>4766.25</v>
      </c>
      <c r="E33" s="200">
        <f>3875*1.23</f>
        <v>4766.25</v>
      </c>
      <c r="F33" s="201">
        <f>D33-E33</f>
        <v>0</v>
      </c>
      <c r="G33" s="237" t="s">
        <v>353</v>
      </c>
      <c r="H33" s="229"/>
      <c r="I33" s="229"/>
      <c r="J33" s="229"/>
      <c r="K33" s="229"/>
      <c r="L33" s="229"/>
      <c r="M33" s="229"/>
      <c r="N33" s="229"/>
      <c r="O33" s="229"/>
      <c r="P33" s="229"/>
    </row>
    <row r="34" spans="1:16" s="190" customFormat="1" ht="38.25">
      <c r="A34" s="391"/>
      <c r="B34" s="396"/>
      <c r="C34" s="329" t="s">
        <v>327</v>
      </c>
      <c r="D34" s="330">
        <v>77000</v>
      </c>
      <c r="E34" s="200">
        <f>2.91+1.32+82633.28+508.2</f>
        <v>83145.70999999999</v>
      </c>
      <c r="F34" s="201">
        <f>D34-E34</f>
        <v>-6145.709999999992</v>
      </c>
      <c r="G34" s="237" t="s">
        <v>354</v>
      </c>
      <c r="H34" s="229"/>
      <c r="I34" s="229"/>
      <c r="J34" s="229"/>
      <c r="K34" s="229"/>
      <c r="L34" s="229"/>
      <c r="M34" s="229"/>
      <c r="N34" s="229"/>
      <c r="O34" s="229"/>
      <c r="P34" s="229"/>
    </row>
    <row r="35" spans="1:16" s="190" customFormat="1" ht="12.75">
      <c r="A35" s="193"/>
      <c r="B35" s="301" t="s">
        <v>9</v>
      </c>
      <c r="C35" s="194"/>
      <c r="D35" s="195">
        <f>SUM(D32:D34)</f>
        <v>87016.25</v>
      </c>
      <c r="E35" s="195">
        <f>SUM(E32:E34)</f>
        <v>91666.98999999999</v>
      </c>
      <c r="F35" s="195">
        <f>SUM(F32:F34)</f>
        <v>-4650.7399999999925</v>
      </c>
      <c r="G35" s="237"/>
      <c r="H35" s="229"/>
      <c r="I35" s="229"/>
      <c r="J35" s="229"/>
      <c r="K35" s="229"/>
      <c r="L35" s="229"/>
      <c r="M35" s="229"/>
      <c r="N35" s="229"/>
      <c r="O35" s="229"/>
      <c r="P35" s="229"/>
    </row>
    <row r="36" spans="1:16" s="190" customFormat="1" ht="38.25">
      <c r="A36" s="184">
        <v>7</v>
      </c>
      <c r="B36" s="206" t="s">
        <v>92</v>
      </c>
      <c r="C36" s="327" t="s">
        <v>328</v>
      </c>
      <c r="D36" s="331">
        <v>7150</v>
      </c>
      <c r="E36" s="187">
        <f>7666.72+47.15</f>
        <v>7713.87</v>
      </c>
      <c r="F36" s="201">
        <f>D36-E36</f>
        <v>-563.8699999999999</v>
      </c>
      <c r="G36" s="237" t="s">
        <v>354</v>
      </c>
      <c r="H36" s="229"/>
      <c r="I36" s="229"/>
      <c r="J36" s="229"/>
      <c r="K36" s="229"/>
      <c r="L36" s="229"/>
      <c r="M36" s="229"/>
      <c r="N36" s="229"/>
      <c r="O36" s="229"/>
      <c r="P36" s="229"/>
    </row>
    <row r="37" spans="1:16" s="190" customFormat="1" ht="12.75">
      <c r="A37" s="193"/>
      <c r="B37" s="301" t="s">
        <v>9</v>
      </c>
      <c r="C37" s="194"/>
      <c r="D37" s="195">
        <f>SUM(D36:D36)</f>
        <v>7150</v>
      </c>
      <c r="E37" s="202">
        <f>SUM(E36:E36)</f>
        <v>7713.87</v>
      </c>
      <c r="F37" s="195">
        <f>SUM(F36:F36)</f>
        <v>-563.8699999999999</v>
      </c>
      <c r="G37" s="237"/>
      <c r="H37" s="229"/>
      <c r="I37" s="229"/>
      <c r="J37" s="229"/>
      <c r="K37" s="229"/>
      <c r="L37" s="229"/>
      <c r="M37" s="229"/>
      <c r="N37" s="229"/>
      <c r="O37" s="229"/>
      <c r="P37" s="229"/>
    </row>
    <row r="38" spans="1:16" s="190" customFormat="1" ht="25.5">
      <c r="A38" s="389">
        <v>8</v>
      </c>
      <c r="B38" s="386" t="s">
        <v>94</v>
      </c>
      <c r="C38" s="280" t="s">
        <v>287</v>
      </c>
      <c r="D38" s="291">
        <v>7850</v>
      </c>
      <c r="E38" s="201">
        <f>3.01+8047.67</f>
        <v>8050.68</v>
      </c>
      <c r="F38" s="188">
        <f>D38-E38</f>
        <v>-200.6800000000003</v>
      </c>
      <c r="G38" s="237" t="s">
        <v>258</v>
      </c>
      <c r="H38" s="229"/>
      <c r="I38" s="229"/>
      <c r="J38" s="229"/>
      <c r="K38" s="229"/>
      <c r="L38" s="229"/>
      <c r="M38" s="229"/>
      <c r="N38" s="229"/>
      <c r="O38" s="229"/>
      <c r="P38" s="229"/>
    </row>
    <row r="39" spans="1:16" s="190" customFormat="1" ht="25.5">
      <c r="A39" s="391"/>
      <c r="B39" s="388"/>
      <c r="C39" s="280" t="s">
        <v>320</v>
      </c>
      <c r="D39" s="291"/>
      <c r="E39" s="201">
        <f>214.25+85</f>
        <v>299.25</v>
      </c>
      <c r="F39" s="188">
        <f>D39-E39</f>
        <v>-299.25</v>
      </c>
      <c r="G39" s="237" t="s">
        <v>258</v>
      </c>
      <c r="H39" s="229"/>
      <c r="I39" s="229"/>
      <c r="J39" s="229"/>
      <c r="K39" s="229"/>
      <c r="L39" s="229"/>
      <c r="M39" s="229"/>
      <c r="N39" s="229"/>
      <c r="O39" s="229"/>
      <c r="P39" s="229"/>
    </row>
    <row r="40" spans="1:16" s="190" customFormat="1" ht="12.75">
      <c r="A40" s="193"/>
      <c r="B40" s="301" t="s">
        <v>9</v>
      </c>
      <c r="C40" s="194"/>
      <c r="D40" s="195">
        <f>SUM(D38:D39)</f>
        <v>7850</v>
      </c>
      <c r="E40" s="195">
        <f>SUM(E38:E39)</f>
        <v>8349.93</v>
      </c>
      <c r="F40" s="195">
        <f>SUM(F38:F39)</f>
        <v>-499.9300000000003</v>
      </c>
      <c r="G40" s="237"/>
      <c r="H40" s="229"/>
      <c r="I40" s="229"/>
      <c r="J40" s="229"/>
      <c r="K40" s="229"/>
      <c r="L40" s="229"/>
      <c r="M40" s="229"/>
      <c r="N40" s="229"/>
      <c r="O40" s="229"/>
      <c r="P40" s="229"/>
    </row>
    <row r="41" spans="1:16" s="190" customFormat="1" ht="25.5">
      <c r="A41" s="389">
        <v>9</v>
      </c>
      <c r="B41" s="386" t="s">
        <v>98</v>
      </c>
      <c r="C41" s="280" t="s">
        <v>287</v>
      </c>
      <c r="D41" s="199">
        <v>2700</v>
      </c>
      <c r="E41" s="201">
        <f>1.56+3091.5</f>
        <v>3093.06</v>
      </c>
      <c r="F41" s="188">
        <f>D41-E41</f>
        <v>-393.05999999999995</v>
      </c>
      <c r="G41" s="237" t="s">
        <v>258</v>
      </c>
      <c r="H41" s="229"/>
      <c r="I41" s="229"/>
      <c r="J41" s="229"/>
      <c r="K41" s="229"/>
      <c r="L41" s="229"/>
      <c r="M41" s="229"/>
      <c r="N41" s="229"/>
      <c r="O41" s="229"/>
      <c r="P41" s="229"/>
    </row>
    <row r="42" spans="1:16" s="190" customFormat="1" ht="25.5">
      <c r="A42" s="391"/>
      <c r="B42" s="388"/>
      <c r="C42" s="280" t="s">
        <v>320</v>
      </c>
      <c r="D42" s="199"/>
      <c r="E42" s="201">
        <f>406.72</f>
        <v>406.72</v>
      </c>
      <c r="F42" s="188">
        <f>D42-E42</f>
        <v>-406.72</v>
      </c>
      <c r="G42" s="237" t="s">
        <v>258</v>
      </c>
      <c r="H42" s="229"/>
      <c r="I42" s="229"/>
      <c r="J42" s="229"/>
      <c r="K42" s="229"/>
      <c r="L42" s="229"/>
      <c r="M42" s="229"/>
      <c r="N42" s="229"/>
      <c r="O42" s="229"/>
      <c r="P42" s="229"/>
    </row>
    <row r="43" spans="1:16" s="190" customFormat="1" ht="12.75">
      <c r="A43" s="193"/>
      <c r="B43" s="301" t="s">
        <v>9</v>
      </c>
      <c r="C43" s="194"/>
      <c r="D43" s="195">
        <f>SUM(D41:D41)</f>
        <v>2700</v>
      </c>
      <c r="E43" s="195">
        <f>SUM(E41:E42)</f>
        <v>3499.7799999999997</v>
      </c>
      <c r="F43" s="195">
        <f>SUM(F41:F42)</f>
        <v>-799.78</v>
      </c>
      <c r="G43" s="237"/>
      <c r="H43" s="229"/>
      <c r="I43" s="229"/>
      <c r="J43" s="229"/>
      <c r="K43" s="229"/>
      <c r="L43" s="229"/>
      <c r="M43" s="229"/>
      <c r="N43" s="229"/>
      <c r="O43" s="229"/>
      <c r="P43" s="229"/>
    </row>
    <row r="44" spans="1:16" s="190" customFormat="1" ht="38.25">
      <c r="A44" s="389">
        <v>10</v>
      </c>
      <c r="B44" s="396" t="s">
        <v>101</v>
      </c>
      <c r="C44" s="280" t="s">
        <v>329</v>
      </c>
      <c r="D44" s="291">
        <v>40000</v>
      </c>
      <c r="E44" s="203">
        <f>38000.88+175.93*1.23</f>
        <v>38217.2739</v>
      </c>
      <c r="F44" s="188">
        <f>D44-E44</f>
        <v>1782.7260999999999</v>
      </c>
      <c r="G44" s="237" t="s">
        <v>258</v>
      </c>
      <c r="H44" s="229"/>
      <c r="I44" s="229"/>
      <c r="J44" s="229"/>
      <c r="K44" s="229"/>
      <c r="L44" s="229"/>
      <c r="M44" s="229"/>
      <c r="N44" s="229"/>
      <c r="O44" s="229"/>
      <c r="P44" s="229"/>
    </row>
    <row r="45" spans="1:16" s="190" customFormat="1" ht="25.5">
      <c r="A45" s="391"/>
      <c r="B45" s="396"/>
      <c r="C45" s="280" t="s">
        <v>287</v>
      </c>
      <c r="D45" s="208">
        <v>3150</v>
      </c>
      <c r="E45" s="203">
        <f>1.02+2145.96</f>
        <v>2146.98</v>
      </c>
      <c r="F45" s="188">
        <f>D45-E45</f>
        <v>1003.02</v>
      </c>
      <c r="G45" s="237" t="s">
        <v>258</v>
      </c>
      <c r="H45" s="229"/>
      <c r="I45" s="229"/>
      <c r="J45" s="229"/>
      <c r="K45" s="229"/>
      <c r="L45" s="229"/>
      <c r="M45" s="229"/>
      <c r="N45" s="229"/>
      <c r="O45" s="229"/>
      <c r="P45" s="229"/>
    </row>
    <row r="46" spans="1:16" s="190" customFormat="1" ht="12.75">
      <c r="A46" s="193"/>
      <c r="B46" s="301" t="s">
        <v>9</v>
      </c>
      <c r="C46" s="194"/>
      <c r="D46" s="195">
        <f>SUM(D44:D45)</f>
        <v>43150</v>
      </c>
      <c r="E46" s="195">
        <f>SUM(E44:E45)</f>
        <v>40364.2539</v>
      </c>
      <c r="F46" s="195">
        <f>SUM(F44:F45)</f>
        <v>2785.7461</v>
      </c>
      <c r="G46" s="237"/>
      <c r="H46" s="229"/>
      <c r="I46" s="229"/>
      <c r="J46" s="229"/>
      <c r="K46" s="229"/>
      <c r="L46" s="229"/>
      <c r="M46" s="229"/>
      <c r="N46" s="229"/>
      <c r="O46" s="229"/>
      <c r="P46" s="229"/>
    </row>
    <row r="47" spans="1:16" s="190" customFormat="1" ht="38.25" customHeight="1">
      <c r="A47" s="389">
        <v>11</v>
      </c>
      <c r="B47" s="386" t="s">
        <v>102</v>
      </c>
      <c r="C47" s="280" t="s">
        <v>349</v>
      </c>
      <c r="D47" s="208"/>
      <c r="E47" s="203">
        <f>2400*1.23</f>
        <v>2952</v>
      </c>
      <c r="F47" s="201">
        <f>D47-E47</f>
        <v>-2952</v>
      </c>
      <c r="G47" s="237" t="s">
        <v>258</v>
      </c>
      <c r="H47" s="229"/>
      <c r="I47" s="229"/>
      <c r="J47" s="229"/>
      <c r="K47" s="229"/>
      <c r="L47" s="229"/>
      <c r="M47" s="229"/>
      <c r="N47" s="229"/>
      <c r="O47" s="229"/>
      <c r="P47" s="229"/>
    </row>
    <row r="48" spans="1:16" s="190" customFormat="1" ht="28.5" customHeight="1">
      <c r="A48" s="391"/>
      <c r="B48" s="388"/>
      <c r="C48" s="280" t="s">
        <v>360</v>
      </c>
      <c r="D48" s="208"/>
      <c r="E48" s="203">
        <v>24164.39</v>
      </c>
      <c r="F48" s="201">
        <f>D48-E48</f>
        <v>-24164.39</v>
      </c>
      <c r="G48" s="237" t="s">
        <v>361</v>
      </c>
      <c r="H48" s="229"/>
      <c r="I48" s="229"/>
      <c r="J48" s="229"/>
      <c r="K48" s="229"/>
      <c r="L48" s="229"/>
      <c r="M48" s="229"/>
      <c r="N48" s="229"/>
      <c r="O48" s="229"/>
      <c r="P48" s="229"/>
    </row>
    <row r="49" spans="1:16" s="190" customFormat="1" ht="12.75">
      <c r="A49" s="193"/>
      <c r="B49" s="301" t="s">
        <v>9</v>
      </c>
      <c r="C49" s="194"/>
      <c r="D49" s="195">
        <f>SUM(D47:D47)</f>
        <v>0</v>
      </c>
      <c r="E49" s="202">
        <f>SUM(E47:E48)</f>
        <v>27116.39</v>
      </c>
      <c r="F49" s="195">
        <f>SUM(F47:F48)</f>
        <v>-27116.39</v>
      </c>
      <c r="G49" s="237"/>
      <c r="H49" s="229"/>
      <c r="I49" s="229"/>
      <c r="J49" s="229"/>
      <c r="K49" s="229"/>
      <c r="L49" s="229"/>
      <c r="M49" s="229"/>
      <c r="N49" s="229"/>
      <c r="O49" s="229"/>
      <c r="P49" s="229"/>
    </row>
    <row r="50" spans="1:16" s="190" customFormat="1" ht="27.75" customHeight="1">
      <c r="A50" s="197">
        <v>12</v>
      </c>
      <c r="B50" s="206" t="s">
        <v>104</v>
      </c>
      <c r="C50" s="280" t="s">
        <v>287</v>
      </c>
      <c r="D50" s="209">
        <v>4200</v>
      </c>
      <c r="E50" s="187">
        <f>0.96+3218.94</f>
        <v>3219.9</v>
      </c>
      <c r="F50" s="201">
        <f>D50-E50</f>
        <v>980.0999999999999</v>
      </c>
      <c r="G50" s="237" t="s">
        <v>258</v>
      </c>
      <c r="H50" s="229"/>
      <c r="I50" s="229"/>
      <c r="J50" s="229"/>
      <c r="K50" s="229"/>
      <c r="L50" s="229"/>
      <c r="M50" s="229"/>
      <c r="N50" s="229"/>
      <c r="O50" s="229"/>
      <c r="P50" s="229"/>
    </row>
    <row r="51" spans="1:16" s="190" customFormat="1" ht="12.75">
      <c r="A51" s="193"/>
      <c r="B51" s="301" t="s">
        <v>9</v>
      </c>
      <c r="C51" s="194"/>
      <c r="D51" s="195">
        <f>SUM(D50:D50)</f>
        <v>4200</v>
      </c>
      <c r="E51" s="202">
        <f>SUM(E50:E50)</f>
        <v>3219.9</v>
      </c>
      <c r="F51" s="195">
        <f>SUM(F50:F50)</f>
        <v>980.0999999999999</v>
      </c>
      <c r="G51" s="237"/>
      <c r="H51" s="229"/>
      <c r="I51" s="229"/>
      <c r="J51" s="229"/>
      <c r="K51" s="229"/>
      <c r="L51" s="229"/>
      <c r="M51" s="229"/>
      <c r="N51" s="229"/>
      <c r="O51" s="229"/>
      <c r="P51" s="229"/>
    </row>
    <row r="52" spans="1:16" s="190" customFormat="1" ht="25.5">
      <c r="A52" s="389">
        <v>13</v>
      </c>
      <c r="B52" s="386" t="s">
        <v>108</v>
      </c>
      <c r="C52" s="280" t="s">
        <v>287</v>
      </c>
      <c r="D52" s="199">
        <v>5400</v>
      </c>
      <c r="E52" s="203">
        <f>2.58+5637.6</f>
        <v>5640.18</v>
      </c>
      <c r="F52" s="201">
        <f>D52-E52</f>
        <v>-240.1800000000003</v>
      </c>
      <c r="G52" s="237" t="s">
        <v>258</v>
      </c>
      <c r="H52" s="229"/>
      <c r="I52" s="229"/>
      <c r="J52" s="229"/>
      <c r="K52" s="229"/>
      <c r="L52" s="229"/>
      <c r="M52" s="229"/>
      <c r="N52" s="229"/>
      <c r="O52" s="229"/>
      <c r="P52" s="229"/>
    </row>
    <row r="53" spans="1:16" s="190" customFormat="1" ht="30.75" customHeight="1">
      <c r="A53" s="390"/>
      <c r="B53" s="387"/>
      <c r="C53" s="280" t="s">
        <v>349</v>
      </c>
      <c r="D53" s="199"/>
      <c r="E53" s="203">
        <f>2400*1.23</f>
        <v>2952</v>
      </c>
      <c r="F53" s="201">
        <f>D53-E53</f>
        <v>-2952</v>
      </c>
      <c r="G53" s="237" t="s">
        <v>258</v>
      </c>
      <c r="H53" s="229"/>
      <c r="I53" s="229"/>
      <c r="J53" s="229"/>
      <c r="K53" s="229"/>
      <c r="L53" s="229"/>
      <c r="M53" s="229"/>
      <c r="N53" s="229"/>
      <c r="O53" s="229"/>
      <c r="P53" s="229"/>
    </row>
    <row r="54" spans="1:16" s="190" customFormat="1" ht="27.75" customHeight="1">
      <c r="A54" s="391"/>
      <c r="B54" s="388"/>
      <c r="C54" s="280" t="s">
        <v>360</v>
      </c>
      <c r="D54" s="208"/>
      <c r="E54" s="203">
        <v>22839.6</v>
      </c>
      <c r="F54" s="201">
        <f>D54-E54</f>
        <v>-22839.6</v>
      </c>
      <c r="G54" s="237" t="s">
        <v>361</v>
      </c>
      <c r="H54" s="229"/>
      <c r="I54" s="229"/>
      <c r="J54" s="229"/>
      <c r="K54" s="229"/>
      <c r="L54" s="229"/>
      <c r="M54" s="229"/>
      <c r="N54" s="229"/>
      <c r="O54" s="229"/>
      <c r="P54" s="229"/>
    </row>
    <row r="55" spans="1:16" s="190" customFormat="1" ht="13.5" customHeight="1">
      <c r="A55" s="193"/>
      <c r="B55" s="301" t="s">
        <v>9</v>
      </c>
      <c r="C55" s="194"/>
      <c r="D55" s="195">
        <f>SUM(D52:D52)</f>
        <v>5400</v>
      </c>
      <c r="E55" s="195">
        <f>SUM(E52:E54)</f>
        <v>31431.78</v>
      </c>
      <c r="F55" s="195">
        <f>SUM(F52:F54)</f>
        <v>-26031.78</v>
      </c>
      <c r="G55" s="342"/>
      <c r="H55" s="229"/>
      <c r="I55" s="229"/>
      <c r="J55" s="229"/>
      <c r="K55" s="229"/>
      <c r="L55" s="229"/>
      <c r="M55" s="229"/>
      <c r="N55" s="229"/>
      <c r="O55" s="229"/>
      <c r="P55" s="229"/>
    </row>
    <row r="56" spans="1:16" s="190" customFormat="1" ht="25.5">
      <c r="A56" s="389">
        <v>14</v>
      </c>
      <c r="B56" s="386" t="s">
        <v>110</v>
      </c>
      <c r="C56" s="280" t="s">
        <v>287</v>
      </c>
      <c r="D56" s="199">
        <v>1800</v>
      </c>
      <c r="E56" s="203">
        <f>1.23+2012.58</f>
        <v>2013.81</v>
      </c>
      <c r="F56" s="188">
        <f>D56-E56</f>
        <v>-213.80999999999995</v>
      </c>
      <c r="G56" s="237" t="s">
        <v>258</v>
      </c>
      <c r="H56" s="229"/>
      <c r="I56" s="229"/>
      <c r="J56" s="229"/>
      <c r="K56" s="229"/>
      <c r="L56" s="229"/>
      <c r="M56" s="229"/>
      <c r="N56" s="229"/>
      <c r="O56" s="229"/>
      <c r="P56" s="229"/>
    </row>
    <row r="57" spans="1:16" s="190" customFormat="1" ht="38.25">
      <c r="A57" s="390"/>
      <c r="B57" s="387"/>
      <c r="C57" s="280" t="s">
        <v>330</v>
      </c>
      <c r="D57" s="199">
        <v>6000</v>
      </c>
      <c r="E57" s="203">
        <v>150</v>
      </c>
      <c r="F57" s="188">
        <f>D57-E57</f>
        <v>5850</v>
      </c>
      <c r="G57" s="237" t="s">
        <v>362</v>
      </c>
      <c r="H57" s="229"/>
      <c r="I57" s="229"/>
      <c r="J57" s="229"/>
      <c r="K57" s="229"/>
      <c r="L57" s="229"/>
      <c r="M57" s="229"/>
      <c r="N57" s="229"/>
      <c r="O57" s="229"/>
      <c r="P57" s="229"/>
    </row>
    <row r="58" spans="1:16" s="190" customFormat="1" ht="25.5">
      <c r="A58" s="391"/>
      <c r="B58" s="388"/>
      <c r="C58" s="280" t="s">
        <v>323</v>
      </c>
      <c r="D58" s="199"/>
      <c r="E58" s="203">
        <v>4050</v>
      </c>
      <c r="F58" s="188">
        <f>D58-E58</f>
        <v>-4050</v>
      </c>
      <c r="G58" s="237" t="s">
        <v>258</v>
      </c>
      <c r="H58" s="229"/>
      <c r="I58" s="229"/>
      <c r="J58" s="229"/>
      <c r="K58" s="229"/>
      <c r="L58" s="229"/>
      <c r="M58" s="229"/>
      <c r="N58" s="229"/>
      <c r="O58" s="229"/>
      <c r="P58" s="229"/>
    </row>
    <row r="59" spans="1:16" s="190" customFormat="1" ht="12.75">
      <c r="A59" s="193"/>
      <c r="B59" s="301" t="s">
        <v>9</v>
      </c>
      <c r="C59" s="194"/>
      <c r="D59" s="195">
        <f>SUM(D56:D58)</f>
        <v>7800</v>
      </c>
      <c r="E59" s="202">
        <f>SUM(E56:E58)</f>
        <v>6213.8099999999995</v>
      </c>
      <c r="F59" s="195">
        <f>SUM(F56:F58)</f>
        <v>1586.1900000000005</v>
      </c>
      <c r="G59" s="237"/>
      <c r="H59" s="229"/>
      <c r="I59" s="229"/>
      <c r="J59" s="229"/>
      <c r="K59" s="229"/>
      <c r="L59" s="229"/>
      <c r="M59" s="229"/>
      <c r="N59" s="229"/>
      <c r="O59" s="229"/>
      <c r="P59" s="229"/>
    </row>
    <row r="60" spans="1:16" s="190" customFormat="1" ht="25.5">
      <c r="A60" s="389">
        <v>15</v>
      </c>
      <c r="B60" s="386" t="s">
        <v>112</v>
      </c>
      <c r="C60" s="210" t="s">
        <v>287</v>
      </c>
      <c r="D60" s="211">
        <v>5400</v>
      </c>
      <c r="E60" s="220">
        <f>2.58+5637.6</f>
        <v>5640.18</v>
      </c>
      <c r="F60" s="214">
        <f>D60-E60</f>
        <v>-240.1800000000003</v>
      </c>
      <c r="G60" s="237" t="s">
        <v>258</v>
      </c>
      <c r="H60" s="229"/>
      <c r="I60" s="229"/>
      <c r="J60" s="229"/>
      <c r="K60" s="229"/>
      <c r="L60" s="229"/>
      <c r="M60" s="229"/>
      <c r="N60" s="229"/>
      <c r="O60" s="229"/>
      <c r="P60" s="229"/>
    </row>
    <row r="61" spans="1:16" s="190" customFormat="1" ht="36" customHeight="1">
      <c r="A61" s="390"/>
      <c r="B61" s="387"/>
      <c r="C61" s="280" t="s">
        <v>349</v>
      </c>
      <c r="D61" s="199"/>
      <c r="E61" s="203">
        <f>2400*1.23</f>
        <v>2952</v>
      </c>
      <c r="F61" s="201">
        <f>D61-E61</f>
        <v>-2952</v>
      </c>
      <c r="G61" s="237" t="s">
        <v>258</v>
      </c>
      <c r="H61" s="229"/>
      <c r="I61" s="229"/>
      <c r="J61" s="229"/>
      <c r="K61" s="229"/>
      <c r="L61" s="229"/>
      <c r="M61" s="229"/>
      <c r="N61" s="229"/>
      <c r="O61" s="229"/>
      <c r="P61" s="229"/>
    </row>
    <row r="62" spans="1:16" s="190" customFormat="1" ht="38.25">
      <c r="A62" s="391"/>
      <c r="B62" s="388"/>
      <c r="C62" s="280" t="s">
        <v>360</v>
      </c>
      <c r="D62" s="208"/>
      <c r="E62" s="203">
        <v>23815.48</v>
      </c>
      <c r="F62" s="201">
        <f>D62-E62</f>
        <v>-23815.48</v>
      </c>
      <c r="G62" s="237" t="s">
        <v>361</v>
      </c>
      <c r="H62" s="229"/>
      <c r="I62" s="229"/>
      <c r="J62" s="229"/>
      <c r="K62" s="229"/>
      <c r="L62" s="229"/>
      <c r="M62" s="229"/>
      <c r="N62" s="229"/>
      <c r="O62" s="229"/>
      <c r="P62" s="229"/>
    </row>
    <row r="63" spans="1:16" s="190" customFormat="1" ht="12.75">
      <c r="A63" s="193"/>
      <c r="B63" s="301" t="s">
        <v>9</v>
      </c>
      <c r="C63" s="194"/>
      <c r="D63" s="195">
        <f>SUM(D60:D60)</f>
        <v>5400</v>
      </c>
      <c r="E63" s="195">
        <f>SUM(E60:E62)</f>
        <v>32407.66</v>
      </c>
      <c r="F63" s="195">
        <f>SUM(F60:F62)</f>
        <v>-27007.66</v>
      </c>
      <c r="G63" s="192"/>
      <c r="H63" s="229"/>
      <c r="I63" s="229"/>
      <c r="J63" s="229"/>
      <c r="K63" s="229"/>
      <c r="L63" s="229"/>
      <c r="M63" s="229"/>
      <c r="N63" s="229"/>
      <c r="O63" s="229"/>
      <c r="P63" s="229"/>
    </row>
    <row r="64" spans="1:16" s="190" customFormat="1" ht="25.5">
      <c r="A64" s="389">
        <v>16</v>
      </c>
      <c r="B64" s="396" t="s">
        <v>116</v>
      </c>
      <c r="C64" s="280" t="s">
        <v>287</v>
      </c>
      <c r="D64" s="199">
        <v>5800</v>
      </c>
      <c r="E64" s="187">
        <f>1.89+3323.1</f>
        <v>3324.99</v>
      </c>
      <c r="F64" s="188">
        <f>D64-E64</f>
        <v>2475.01</v>
      </c>
      <c r="G64" s="237" t="s">
        <v>258</v>
      </c>
      <c r="H64" s="229"/>
      <c r="I64" s="229"/>
      <c r="J64" s="229"/>
      <c r="K64" s="229"/>
      <c r="L64" s="229"/>
      <c r="M64" s="229"/>
      <c r="N64" s="229"/>
      <c r="O64" s="229"/>
      <c r="P64" s="229"/>
    </row>
    <row r="65" spans="1:16" s="190" customFormat="1" ht="38.25">
      <c r="A65" s="390"/>
      <c r="B65" s="396"/>
      <c r="C65" s="280" t="s">
        <v>330</v>
      </c>
      <c r="D65" s="199">
        <v>9000</v>
      </c>
      <c r="E65" s="187">
        <v>9000</v>
      </c>
      <c r="F65" s="188">
        <f>D65-E65</f>
        <v>0</v>
      </c>
      <c r="G65" s="192" t="s">
        <v>14</v>
      </c>
      <c r="H65" s="229"/>
      <c r="I65" s="229"/>
      <c r="J65" s="229"/>
      <c r="K65" s="229"/>
      <c r="L65" s="229"/>
      <c r="M65" s="229"/>
      <c r="N65" s="229"/>
      <c r="O65" s="229"/>
      <c r="P65" s="229"/>
    </row>
    <row r="66" spans="1:16" s="190" customFormat="1" ht="38.25">
      <c r="A66" s="391"/>
      <c r="B66" s="396"/>
      <c r="C66" s="280" t="s">
        <v>331</v>
      </c>
      <c r="D66" s="291">
        <v>7154</v>
      </c>
      <c r="E66" s="187">
        <v>7154</v>
      </c>
      <c r="F66" s="188">
        <f>D66-E66</f>
        <v>0</v>
      </c>
      <c r="G66" s="237" t="s">
        <v>363</v>
      </c>
      <c r="H66" s="229"/>
      <c r="I66" s="229"/>
      <c r="J66" s="229"/>
      <c r="K66" s="229"/>
      <c r="L66" s="229"/>
      <c r="M66" s="229"/>
      <c r="N66" s="229"/>
      <c r="O66" s="229"/>
      <c r="P66" s="229"/>
    </row>
    <row r="67" spans="1:16" s="190" customFormat="1" ht="12.75">
      <c r="A67" s="193"/>
      <c r="B67" s="301" t="s">
        <v>9</v>
      </c>
      <c r="C67" s="194"/>
      <c r="D67" s="195">
        <f>SUM(D64:D66)</f>
        <v>21954</v>
      </c>
      <c r="E67" s="202">
        <f>SUM(E64:E66)</f>
        <v>19478.989999999998</v>
      </c>
      <c r="F67" s="195">
        <f>SUM(F64:F66)</f>
        <v>2475.01</v>
      </c>
      <c r="G67" s="237"/>
      <c r="H67" s="229"/>
      <c r="I67" s="229"/>
      <c r="J67" s="229"/>
      <c r="K67" s="229"/>
      <c r="L67" s="229"/>
      <c r="M67" s="229"/>
      <c r="N67" s="229"/>
      <c r="O67" s="229"/>
      <c r="P67" s="229"/>
    </row>
    <row r="68" spans="1:16" s="190" customFormat="1" ht="25.5">
      <c r="A68" s="389">
        <v>17</v>
      </c>
      <c r="B68" s="396" t="s">
        <v>118</v>
      </c>
      <c r="C68" s="280" t="s">
        <v>287</v>
      </c>
      <c r="D68" s="199">
        <v>6300</v>
      </c>
      <c r="E68" s="187">
        <f>3.04+6577.2</f>
        <v>6580.24</v>
      </c>
      <c r="F68" s="201">
        <f>D68-E68</f>
        <v>-280.2399999999998</v>
      </c>
      <c r="G68" s="237" t="s">
        <v>258</v>
      </c>
      <c r="H68" s="229"/>
      <c r="I68" s="229"/>
      <c r="J68" s="229"/>
      <c r="K68" s="229"/>
      <c r="L68" s="229"/>
      <c r="M68" s="229"/>
      <c r="N68" s="229"/>
      <c r="O68" s="229"/>
      <c r="P68" s="229"/>
    </row>
    <row r="69" spans="1:16" s="190" customFormat="1" ht="25.5">
      <c r="A69" s="390"/>
      <c r="B69" s="396"/>
      <c r="C69" s="280" t="s">
        <v>320</v>
      </c>
      <c r="D69" s="199"/>
      <c r="E69" s="187">
        <f>122.29</f>
        <v>122.29</v>
      </c>
      <c r="F69" s="201">
        <f>D69-E69</f>
        <v>-122.29</v>
      </c>
      <c r="G69" s="237" t="s">
        <v>258</v>
      </c>
      <c r="H69" s="229"/>
      <c r="I69" s="229"/>
      <c r="J69" s="229"/>
      <c r="K69" s="229"/>
      <c r="L69" s="229"/>
      <c r="M69" s="229"/>
      <c r="N69" s="229"/>
      <c r="O69" s="229"/>
      <c r="P69" s="229"/>
    </row>
    <row r="70" spans="1:16" s="190" customFormat="1" ht="38.25">
      <c r="A70" s="391"/>
      <c r="B70" s="396"/>
      <c r="C70" s="280" t="s">
        <v>331</v>
      </c>
      <c r="D70" s="199">
        <v>11777</v>
      </c>
      <c r="E70" s="187">
        <v>11770</v>
      </c>
      <c r="F70" s="201">
        <f>D70-E70</f>
        <v>7</v>
      </c>
      <c r="G70" s="237" t="s">
        <v>363</v>
      </c>
      <c r="H70" s="229"/>
      <c r="I70" s="229"/>
      <c r="J70" s="229"/>
      <c r="K70" s="229"/>
      <c r="L70" s="229"/>
      <c r="M70" s="229"/>
      <c r="N70" s="229"/>
      <c r="O70" s="229"/>
      <c r="P70" s="229"/>
    </row>
    <row r="71" spans="1:16" s="190" customFormat="1" ht="12.75">
      <c r="A71" s="193"/>
      <c r="B71" s="301" t="s">
        <v>9</v>
      </c>
      <c r="C71" s="194"/>
      <c r="D71" s="195">
        <f>SUM(D68:D70)</f>
        <v>18077</v>
      </c>
      <c r="E71" s="195">
        <f>SUM(E68:E70)</f>
        <v>18472.53</v>
      </c>
      <c r="F71" s="195">
        <f>SUM(F68:F70)</f>
        <v>-395.5299999999998</v>
      </c>
      <c r="G71" s="237"/>
      <c r="H71" s="229"/>
      <c r="I71" s="229"/>
      <c r="J71" s="229"/>
      <c r="K71" s="229"/>
      <c r="L71" s="229"/>
      <c r="M71" s="229"/>
      <c r="N71" s="229"/>
      <c r="O71" s="229"/>
      <c r="P71" s="229"/>
    </row>
    <row r="72" spans="1:16" s="190" customFormat="1" ht="25.5">
      <c r="A72" s="389">
        <v>18</v>
      </c>
      <c r="B72" s="396" t="s">
        <v>121</v>
      </c>
      <c r="C72" s="280" t="s">
        <v>287</v>
      </c>
      <c r="D72" s="199">
        <v>2700</v>
      </c>
      <c r="E72" s="187">
        <f>1.56+3218.94</f>
        <v>3220.5</v>
      </c>
      <c r="F72" s="188">
        <f>D72-E72</f>
        <v>-520.5</v>
      </c>
      <c r="G72" s="237" t="s">
        <v>258</v>
      </c>
      <c r="H72" s="229"/>
      <c r="I72" s="229"/>
      <c r="J72" s="229"/>
      <c r="K72" s="229"/>
      <c r="L72" s="229"/>
      <c r="M72" s="229"/>
      <c r="N72" s="229"/>
      <c r="O72" s="229"/>
      <c r="P72" s="229"/>
    </row>
    <row r="73" spans="1:16" s="190" customFormat="1" ht="38.25">
      <c r="A73" s="391"/>
      <c r="B73" s="396"/>
      <c r="C73" s="280" t="s">
        <v>331</v>
      </c>
      <c r="D73" s="291">
        <v>6070</v>
      </c>
      <c r="E73" s="187">
        <v>6070</v>
      </c>
      <c r="F73" s="188">
        <f>D73-E73</f>
        <v>0</v>
      </c>
      <c r="G73" s="237" t="s">
        <v>363</v>
      </c>
      <c r="H73" s="229"/>
      <c r="I73" s="229"/>
      <c r="J73" s="229"/>
      <c r="K73" s="229"/>
      <c r="L73" s="229"/>
      <c r="M73" s="229"/>
      <c r="N73" s="229"/>
      <c r="O73" s="229"/>
      <c r="P73" s="229"/>
    </row>
    <row r="74" spans="1:16" s="190" customFormat="1" ht="12.75">
      <c r="A74" s="193"/>
      <c r="B74" s="301" t="s">
        <v>9</v>
      </c>
      <c r="C74" s="194"/>
      <c r="D74" s="195">
        <f>SUM(D72:D73)</f>
        <v>8770</v>
      </c>
      <c r="E74" s="195">
        <f>SUM(E72:E73)</f>
        <v>9290.5</v>
      </c>
      <c r="F74" s="195">
        <f>SUM(F72:F73)</f>
        <v>-520.5</v>
      </c>
      <c r="G74" s="189"/>
      <c r="H74" s="229"/>
      <c r="I74" s="229"/>
      <c r="J74" s="229"/>
      <c r="K74" s="229"/>
      <c r="L74" s="229"/>
      <c r="M74" s="229"/>
      <c r="N74" s="229"/>
      <c r="O74" s="229"/>
      <c r="P74" s="229"/>
    </row>
    <row r="75" spans="1:16" s="190" customFormat="1" ht="26.25" customHeight="1">
      <c r="A75" s="389">
        <v>19</v>
      </c>
      <c r="B75" s="386" t="s">
        <v>18</v>
      </c>
      <c r="C75" s="279" t="s">
        <v>283</v>
      </c>
      <c r="D75" s="291">
        <v>2776</v>
      </c>
      <c r="E75" s="208">
        <v>2775.6</v>
      </c>
      <c r="F75" s="188">
        <f>D75-E75</f>
        <v>0.40000000000009095</v>
      </c>
      <c r="G75" s="237" t="s">
        <v>258</v>
      </c>
      <c r="H75" s="229"/>
      <c r="I75" s="229"/>
      <c r="J75" s="229"/>
      <c r="K75" s="229"/>
      <c r="L75" s="229"/>
      <c r="M75" s="229"/>
      <c r="N75" s="229"/>
      <c r="O75" s="229"/>
      <c r="P75" s="229"/>
    </row>
    <row r="76" spans="1:16" s="190" customFormat="1" ht="25.5">
      <c r="A76" s="391"/>
      <c r="B76" s="388"/>
      <c r="C76" s="281" t="s">
        <v>320</v>
      </c>
      <c r="D76" s="291"/>
      <c r="E76" s="208">
        <v>122.21</v>
      </c>
      <c r="F76" s="188">
        <f>D76-E76</f>
        <v>-122.21</v>
      </c>
      <c r="G76" s="237" t="s">
        <v>258</v>
      </c>
      <c r="H76" s="229"/>
      <c r="I76" s="229"/>
      <c r="J76" s="229"/>
      <c r="K76" s="229"/>
      <c r="L76" s="229"/>
      <c r="M76" s="229"/>
      <c r="N76" s="229"/>
      <c r="O76" s="229"/>
      <c r="P76" s="229"/>
    </row>
    <row r="77" spans="1:16" s="190" customFormat="1" ht="14.25" customHeight="1">
      <c r="A77" s="193"/>
      <c r="B77" s="301" t="s">
        <v>9</v>
      </c>
      <c r="C77" s="194"/>
      <c r="D77" s="195">
        <f>SUM(D75:D75)</f>
        <v>2776</v>
      </c>
      <c r="E77" s="202">
        <f>SUM(E75:E76)</f>
        <v>2897.81</v>
      </c>
      <c r="F77" s="202">
        <f>SUM(F75:F76)</f>
        <v>-121.8099999999999</v>
      </c>
      <c r="G77" s="237"/>
      <c r="H77" s="229"/>
      <c r="I77" s="229"/>
      <c r="J77" s="229"/>
      <c r="K77" s="229"/>
      <c r="L77" s="229"/>
      <c r="M77" s="229"/>
      <c r="N77" s="229"/>
      <c r="O77" s="229"/>
      <c r="P77" s="229"/>
    </row>
    <row r="78" spans="1:16" s="190" customFormat="1" ht="24" customHeight="1">
      <c r="A78" s="389">
        <v>20</v>
      </c>
      <c r="B78" s="386" t="s">
        <v>20</v>
      </c>
      <c r="C78" s="210" t="s">
        <v>284</v>
      </c>
      <c r="D78" s="199">
        <v>36000</v>
      </c>
      <c r="E78" s="286">
        <f>29.3+0.21+1.03+25334.6*1.08+(25334.6*0.5%*1.23)</f>
        <v>27547.71579</v>
      </c>
      <c r="F78" s="188">
        <f>D78-E78</f>
        <v>8452.284210000002</v>
      </c>
      <c r="G78" s="237" t="s">
        <v>258</v>
      </c>
      <c r="H78" s="229"/>
      <c r="I78" s="229"/>
      <c r="J78" s="229"/>
      <c r="K78" s="229"/>
      <c r="L78" s="229"/>
      <c r="M78" s="229"/>
      <c r="N78" s="229"/>
      <c r="O78" s="229"/>
      <c r="P78" s="229"/>
    </row>
    <row r="79" spans="1:16" s="190" customFormat="1" ht="25.5">
      <c r="A79" s="390"/>
      <c r="B79" s="387"/>
      <c r="C79" s="210" t="s">
        <v>320</v>
      </c>
      <c r="D79" s="199"/>
      <c r="E79" s="286">
        <v>85</v>
      </c>
      <c r="F79" s="188">
        <f>D79-E79</f>
        <v>-85</v>
      </c>
      <c r="G79" s="237" t="s">
        <v>258</v>
      </c>
      <c r="H79" s="229"/>
      <c r="I79" s="229"/>
      <c r="J79" s="229"/>
      <c r="K79" s="229"/>
      <c r="L79" s="229"/>
      <c r="M79" s="229"/>
      <c r="N79" s="229"/>
      <c r="O79" s="229"/>
      <c r="P79" s="229"/>
    </row>
    <row r="80" spans="1:16" s="190" customFormat="1" ht="30" customHeight="1">
      <c r="A80" s="391"/>
      <c r="B80" s="388"/>
      <c r="C80" s="210" t="s">
        <v>285</v>
      </c>
      <c r="D80" s="199">
        <v>7650</v>
      </c>
      <c r="E80" s="286">
        <f>9600*1.23/6598.62*4135.62</f>
        <v>7400.547532665921</v>
      </c>
      <c r="F80" s="188">
        <f>D80-E80</f>
        <v>249.4524673340793</v>
      </c>
      <c r="G80" s="237" t="s">
        <v>258</v>
      </c>
      <c r="H80" s="229"/>
      <c r="I80" s="229"/>
      <c r="J80" s="229"/>
      <c r="K80" s="229"/>
      <c r="L80" s="229"/>
      <c r="M80" s="229"/>
      <c r="N80" s="229"/>
      <c r="O80" s="229"/>
      <c r="P80" s="229"/>
    </row>
    <row r="81" spans="1:16" s="190" customFormat="1" ht="12.75">
      <c r="A81" s="193"/>
      <c r="B81" s="301" t="s">
        <v>9</v>
      </c>
      <c r="C81" s="194"/>
      <c r="D81" s="195">
        <f>SUM(D78:D80)-0.23</f>
        <v>43649.77</v>
      </c>
      <c r="E81" s="195">
        <f>SUM(E78:E80)</f>
        <v>35033.263322665916</v>
      </c>
      <c r="F81" s="195">
        <f>SUM(F78:F80)-0.23</f>
        <v>8616.50667733408</v>
      </c>
      <c r="G81" s="237"/>
      <c r="H81" s="229"/>
      <c r="I81" s="229"/>
      <c r="J81" s="229"/>
      <c r="K81" s="229"/>
      <c r="L81" s="229"/>
      <c r="M81" s="229"/>
      <c r="N81" s="229"/>
      <c r="O81" s="229"/>
      <c r="P81" s="229"/>
    </row>
    <row r="82" spans="1:16" s="190" customFormat="1" ht="26.25" customHeight="1">
      <c r="A82" s="389">
        <v>21</v>
      </c>
      <c r="B82" s="386" t="s">
        <v>21</v>
      </c>
      <c r="C82" s="210" t="s">
        <v>285</v>
      </c>
      <c r="D82" s="208">
        <v>4560</v>
      </c>
      <c r="E82" s="286">
        <f>9600*1.23/6598.62*2463</f>
        <v>4407.452467334079</v>
      </c>
      <c r="F82" s="278">
        <f>D82-E82</f>
        <v>152.5475326659207</v>
      </c>
      <c r="G82" s="237" t="s">
        <v>258</v>
      </c>
      <c r="H82" s="229"/>
      <c r="I82" s="229"/>
      <c r="J82" s="229"/>
      <c r="K82" s="229"/>
      <c r="L82" s="229"/>
      <c r="M82" s="229"/>
      <c r="N82" s="229"/>
      <c r="O82" s="229"/>
      <c r="P82" s="229"/>
    </row>
    <row r="83" spans="1:16" s="190" customFormat="1" ht="25.5">
      <c r="A83" s="390"/>
      <c r="B83" s="387"/>
      <c r="C83" s="345" t="s">
        <v>357</v>
      </c>
      <c r="D83" s="286"/>
      <c r="E83" s="286">
        <v>1282</v>
      </c>
      <c r="F83" s="278">
        <f>D83-E83</f>
        <v>-1282</v>
      </c>
      <c r="G83" s="237" t="s">
        <v>258</v>
      </c>
      <c r="H83" s="229"/>
      <c r="I83" s="229"/>
      <c r="J83" s="229"/>
      <c r="K83" s="229"/>
      <c r="L83" s="229"/>
      <c r="M83" s="229"/>
      <c r="N83" s="229"/>
      <c r="O83" s="229"/>
      <c r="P83" s="229"/>
    </row>
    <row r="84" spans="1:16" s="190" customFormat="1" ht="25.5">
      <c r="A84" s="391"/>
      <c r="B84" s="388"/>
      <c r="C84" s="210" t="s">
        <v>320</v>
      </c>
      <c r="D84" s="208"/>
      <c r="E84" s="213">
        <f>85+85</f>
        <v>170</v>
      </c>
      <c r="F84" s="278">
        <f>D84-E84</f>
        <v>-170</v>
      </c>
      <c r="G84" s="237" t="s">
        <v>258</v>
      </c>
      <c r="H84" s="229"/>
      <c r="I84" s="229"/>
      <c r="J84" s="229"/>
      <c r="K84" s="229"/>
      <c r="L84" s="229"/>
      <c r="M84" s="229"/>
      <c r="N84" s="229"/>
      <c r="O84" s="229"/>
      <c r="P84" s="229"/>
    </row>
    <row r="85" spans="1:16" s="190" customFormat="1" ht="12.75">
      <c r="A85" s="193"/>
      <c r="B85" s="301" t="s">
        <v>9</v>
      </c>
      <c r="C85" s="194"/>
      <c r="D85" s="195">
        <f>SUM(D82:D84)+0.23</f>
        <v>4560.23</v>
      </c>
      <c r="E85" s="195">
        <f>SUM(E82:E84)</f>
        <v>5859.452467334079</v>
      </c>
      <c r="F85" s="195">
        <f>SUM(F82:F84)+0.23</f>
        <v>-1299.2224673340793</v>
      </c>
      <c r="G85" s="237"/>
      <c r="H85" s="229"/>
      <c r="I85" s="229"/>
      <c r="J85" s="229"/>
      <c r="K85" s="229"/>
      <c r="L85" s="229"/>
      <c r="M85" s="229"/>
      <c r="N85" s="229"/>
      <c r="O85" s="229"/>
      <c r="P85" s="229"/>
    </row>
    <row r="86" spans="1:16" s="190" customFormat="1" ht="51">
      <c r="A86" s="389">
        <v>22</v>
      </c>
      <c r="B86" s="386" t="s">
        <v>17</v>
      </c>
      <c r="C86" s="279" t="s">
        <v>286</v>
      </c>
      <c r="D86" s="286">
        <v>29870.19</v>
      </c>
      <c r="E86" s="212">
        <f>15.25+28784.4+843.23+137.48*1.23</f>
        <v>29811.9804</v>
      </c>
      <c r="F86" s="214">
        <f>D86-E86</f>
        <v>58.20959999999832</v>
      </c>
      <c r="G86" s="237" t="s">
        <v>258</v>
      </c>
      <c r="H86" s="229"/>
      <c r="I86" s="229"/>
      <c r="J86" s="229"/>
      <c r="K86" s="229"/>
      <c r="L86" s="229"/>
      <c r="M86" s="229"/>
      <c r="N86" s="229"/>
      <c r="O86" s="229"/>
      <c r="P86" s="229"/>
    </row>
    <row r="87" spans="1:16" s="190" customFormat="1" ht="28.5" customHeight="1">
      <c r="A87" s="390"/>
      <c r="B87" s="387"/>
      <c r="C87" s="281" t="s">
        <v>289</v>
      </c>
      <c r="D87" s="286">
        <v>2500</v>
      </c>
      <c r="E87" s="297">
        <f>3.91+0.1+2563.39+65.94</f>
        <v>2633.34</v>
      </c>
      <c r="F87" s="214">
        <f>D87-E87</f>
        <v>-133.34000000000015</v>
      </c>
      <c r="G87" s="237" t="s">
        <v>258</v>
      </c>
      <c r="H87" s="229"/>
      <c r="I87" s="229"/>
      <c r="J87" s="229"/>
      <c r="K87" s="229"/>
      <c r="L87" s="229"/>
      <c r="M87" s="229"/>
      <c r="N87" s="229"/>
      <c r="O87" s="229"/>
      <c r="P87" s="229"/>
    </row>
    <row r="88" spans="1:16" s="190" customFormat="1" ht="25.5">
      <c r="A88" s="391"/>
      <c r="B88" s="388"/>
      <c r="C88" s="281" t="s">
        <v>287</v>
      </c>
      <c r="D88" s="286">
        <v>3150</v>
      </c>
      <c r="E88" s="212">
        <f>1.08+2818.8</f>
        <v>2819.88</v>
      </c>
      <c r="F88" s="214">
        <f>D88-E88</f>
        <v>330.1199999999999</v>
      </c>
      <c r="G88" s="237" t="s">
        <v>258</v>
      </c>
      <c r="H88" s="229"/>
      <c r="I88" s="229"/>
      <c r="J88" s="229"/>
      <c r="K88" s="229"/>
      <c r="L88" s="229"/>
      <c r="M88" s="229"/>
      <c r="N88" s="229"/>
      <c r="O88" s="229"/>
      <c r="P88" s="229"/>
    </row>
    <row r="89" spans="1:16" s="190" customFormat="1" ht="12.75">
      <c r="A89" s="193"/>
      <c r="B89" s="301" t="s">
        <v>9</v>
      </c>
      <c r="C89" s="215"/>
      <c r="D89" s="216">
        <f>SUM(D86:D88)-0.19</f>
        <v>35520</v>
      </c>
      <c r="E89" s="216">
        <f>SUM(E86:E88)</f>
        <v>35265.2004</v>
      </c>
      <c r="F89" s="216">
        <f>SUM(F86:F88)-0.19</f>
        <v>254.79959999999807</v>
      </c>
      <c r="G89" s="192"/>
      <c r="H89" s="229"/>
      <c r="I89" s="229"/>
      <c r="J89" s="229"/>
      <c r="K89" s="229"/>
      <c r="L89" s="229"/>
      <c r="M89" s="229"/>
      <c r="N89" s="229"/>
      <c r="O89" s="229"/>
      <c r="P89" s="229"/>
    </row>
    <row r="90" spans="1:16" s="190" customFormat="1" ht="24" customHeight="1">
      <c r="A90" s="389">
        <v>23</v>
      </c>
      <c r="B90" s="386" t="s">
        <v>22</v>
      </c>
      <c r="C90" s="210" t="s">
        <v>287</v>
      </c>
      <c r="D90" s="211">
        <v>1800</v>
      </c>
      <c r="E90" s="311">
        <f>0.75+1605.5</f>
        <v>1606.25</v>
      </c>
      <c r="F90" s="214">
        <f>D90-E90</f>
        <v>193.75</v>
      </c>
      <c r="G90" s="237" t="s">
        <v>258</v>
      </c>
      <c r="H90" s="229"/>
      <c r="I90" s="229"/>
      <c r="J90" s="229"/>
      <c r="K90" s="229"/>
      <c r="L90" s="229"/>
      <c r="M90" s="229"/>
      <c r="N90" s="229"/>
      <c r="O90" s="229"/>
      <c r="P90" s="229"/>
    </row>
    <row r="91" spans="1:16" s="190" customFormat="1" ht="38.25">
      <c r="A91" s="391"/>
      <c r="B91" s="388"/>
      <c r="C91" s="210" t="s">
        <v>288</v>
      </c>
      <c r="D91" s="211">
        <v>700.46</v>
      </c>
      <c r="E91" s="218">
        <v>700</v>
      </c>
      <c r="F91" s="214">
        <f>D91-E91</f>
        <v>0.4600000000000364</v>
      </c>
      <c r="G91" s="237" t="s">
        <v>367</v>
      </c>
      <c r="H91" s="229"/>
      <c r="I91" s="229"/>
      <c r="J91" s="229"/>
      <c r="K91" s="229"/>
      <c r="L91" s="229"/>
      <c r="M91" s="229"/>
      <c r="N91" s="229"/>
      <c r="O91" s="229"/>
      <c r="P91" s="229"/>
    </row>
    <row r="92" spans="1:16" s="190" customFormat="1" ht="12.75">
      <c r="A92" s="193"/>
      <c r="B92" s="301" t="s">
        <v>9</v>
      </c>
      <c r="C92" s="215"/>
      <c r="D92" s="216">
        <f>SUM(D90:D91)-0.46</f>
        <v>2500</v>
      </c>
      <c r="E92" s="216">
        <f>SUM(E90:E91)</f>
        <v>2306.25</v>
      </c>
      <c r="F92" s="216">
        <f>SUM(F90:F91)-0.46</f>
        <v>193.75000000000003</v>
      </c>
      <c r="G92" s="237"/>
      <c r="H92" s="229"/>
      <c r="I92" s="229"/>
      <c r="J92" s="229"/>
      <c r="K92" s="229"/>
      <c r="L92" s="229"/>
      <c r="M92" s="229"/>
      <c r="N92" s="229"/>
      <c r="O92" s="229"/>
      <c r="P92" s="229"/>
    </row>
    <row r="93" spans="1:16" s="190" customFormat="1" ht="28.5" customHeight="1">
      <c r="A93" s="389">
        <v>24</v>
      </c>
      <c r="B93" s="386" t="s">
        <v>23</v>
      </c>
      <c r="C93" s="281" t="s">
        <v>289</v>
      </c>
      <c r="D93" s="208">
        <v>2500</v>
      </c>
      <c r="E93" s="297">
        <f>3.89+2150*1.23+(2150*0.5%*1.23)</f>
        <v>2661.6124999999997</v>
      </c>
      <c r="F93" s="214">
        <f>D93-E93</f>
        <v>-161.61249999999973</v>
      </c>
      <c r="G93" s="237" t="s">
        <v>258</v>
      </c>
      <c r="H93" s="229"/>
      <c r="I93" s="229"/>
      <c r="J93" s="229"/>
      <c r="K93" s="229"/>
      <c r="L93" s="229"/>
      <c r="M93" s="229"/>
      <c r="N93" s="229"/>
      <c r="O93" s="229"/>
      <c r="P93" s="229"/>
    </row>
    <row r="94" spans="1:16" s="190" customFormat="1" ht="28.5" customHeight="1">
      <c r="A94" s="391"/>
      <c r="B94" s="388"/>
      <c r="C94" s="281" t="s">
        <v>287</v>
      </c>
      <c r="D94" s="208">
        <v>3850</v>
      </c>
      <c r="E94" s="219">
        <f>1.04+3323.1+501.62</f>
        <v>3825.7599999999998</v>
      </c>
      <c r="F94" s="214">
        <f>D94-E94</f>
        <v>24.240000000000236</v>
      </c>
      <c r="G94" s="237" t="s">
        <v>258</v>
      </c>
      <c r="H94" s="229"/>
      <c r="I94" s="229"/>
      <c r="J94" s="229"/>
      <c r="K94" s="229"/>
      <c r="L94" s="229"/>
      <c r="M94" s="229"/>
      <c r="N94" s="229"/>
      <c r="O94" s="229"/>
      <c r="P94" s="229"/>
    </row>
    <row r="95" spans="1:16" s="190" customFormat="1" ht="12.75">
      <c r="A95" s="193"/>
      <c r="B95" s="301" t="s">
        <v>9</v>
      </c>
      <c r="C95" s="215"/>
      <c r="D95" s="216">
        <f>SUM(D93:D94)</f>
        <v>6350</v>
      </c>
      <c r="E95" s="216">
        <f>SUM(E93:E94)</f>
        <v>6487.3724999999995</v>
      </c>
      <c r="F95" s="216">
        <f>SUM(F93:F94)</f>
        <v>-137.3724999999995</v>
      </c>
      <c r="G95" s="192"/>
      <c r="H95" s="229"/>
      <c r="I95" s="229"/>
      <c r="J95" s="229"/>
      <c r="K95" s="229"/>
      <c r="L95" s="229"/>
      <c r="M95" s="229"/>
      <c r="N95" s="229"/>
      <c r="O95" s="229"/>
      <c r="P95" s="229"/>
    </row>
    <row r="96" spans="1:16" s="190" customFormat="1" ht="25.5">
      <c r="A96" s="389">
        <v>25</v>
      </c>
      <c r="B96" s="386" t="s">
        <v>24</v>
      </c>
      <c r="C96" s="210" t="s">
        <v>287</v>
      </c>
      <c r="D96" s="211">
        <v>1800</v>
      </c>
      <c r="E96" s="220">
        <f>0.75+1606.5</f>
        <v>1607.25</v>
      </c>
      <c r="F96" s="214">
        <f>D96-E96</f>
        <v>192.75</v>
      </c>
      <c r="G96" s="237" t="s">
        <v>258</v>
      </c>
      <c r="H96" s="229"/>
      <c r="I96" s="229"/>
      <c r="J96" s="229"/>
      <c r="K96" s="229"/>
      <c r="L96" s="229"/>
      <c r="M96" s="229"/>
      <c r="N96" s="229"/>
      <c r="O96" s="229"/>
      <c r="P96" s="229"/>
    </row>
    <row r="97" spans="1:16" s="190" customFormat="1" ht="38.25">
      <c r="A97" s="391"/>
      <c r="B97" s="388"/>
      <c r="C97" s="210" t="s">
        <v>288</v>
      </c>
      <c r="D97" s="211">
        <v>700</v>
      </c>
      <c r="E97" s="220">
        <v>700</v>
      </c>
      <c r="F97" s="214">
        <f>D97-E97</f>
        <v>0</v>
      </c>
      <c r="G97" s="237" t="s">
        <v>367</v>
      </c>
      <c r="H97" s="229"/>
      <c r="I97" s="229"/>
      <c r="J97" s="229"/>
      <c r="K97" s="229"/>
      <c r="L97" s="229"/>
      <c r="M97" s="229"/>
      <c r="N97" s="229"/>
      <c r="O97" s="229"/>
      <c r="P97" s="229"/>
    </row>
    <row r="98" spans="1:16" s="190" customFormat="1" ht="12.75">
      <c r="A98" s="193"/>
      <c r="B98" s="301" t="s">
        <v>9</v>
      </c>
      <c r="C98" s="215"/>
      <c r="D98" s="216">
        <f>SUM(D96:D97)</f>
        <v>2500</v>
      </c>
      <c r="E98" s="216">
        <f>SUM(E96:E97)</f>
        <v>2307.25</v>
      </c>
      <c r="F98" s="216">
        <f>SUM(F96:F97)</f>
        <v>192.75</v>
      </c>
      <c r="G98" s="196"/>
      <c r="H98" s="229"/>
      <c r="I98" s="229"/>
      <c r="J98" s="229"/>
      <c r="K98" s="229"/>
      <c r="L98" s="229"/>
      <c r="M98" s="229"/>
      <c r="N98" s="229"/>
      <c r="O98" s="229"/>
      <c r="P98" s="229"/>
    </row>
    <row r="99" spans="1:16" s="223" customFormat="1" ht="24" customHeight="1">
      <c r="A99" s="184">
        <v>26</v>
      </c>
      <c r="B99" s="206" t="s">
        <v>25</v>
      </c>
      <c r="C99" s="281" t="s">
        <v>287</v>
      </c>
      <c r="D99" s="208">
        <v>3150</v>
      </c>
      <c r="E99" s="218">
        <f>1.05+2754</f>
        <v>2755.05</v>
      </c>
      <c r="F99" s="221">
        <f>D99-E99</f>
        <v>394.9499999999998</v>
      </c>
      <c r="G99" s="237" t="s">
        <v>258</v>
      </c>
      <c r="H99" s="229"/>
      <c r="I99" s="229"/>
      <c r="J99" s="229"/>
      <c r="K99" s="229"/>
      <c r="L99" s="229"/>
      <c r="M99" s="229"/>
      <c r="N99" s="229"/>
      <c r="O99" s="229"/>
      <c r="P99" s="229"/>
    </row>
    <row r="100" spans="1:16" s="190" customFormat="1" ht="12.75">
      <c r="A100" s="193"/>
      <c r="B100" s="301" t="s">
        <v>9</v>
      </c>
      <c r="C100" s="194"/>
      <c r="D100" s="224">
        <f>SUM(D99:D99)</f>
        <v>3150</v>
      </c>
      <c r="E100" s="224">
        <f>SUM(E99:E99)</f>
        <v>2755.05</v>
      </c>
      <c r="F100" s="224">
        <f>SUM(F99:F99)</f>
        <v>394.9499999999998</v>
      </c>
      <c r="G100" s="196"/>
      <c r="H100" s="229"/>
      <c r="I100" s="229"/>
      <c r="J100" s="229"/>
      <c r="K100" s="229"/>
      <c r="L100" s="229"/>
      <c r="M100" s="229"/>
      <c r="N100" s="229"/>
      <c r="O100" s="229"/>
      <c r="P100" s="229"/>
    </row>
    <row r="101" spans="1:16" s="190" customFormat="1" ht="27" customHeight="1">
      <c r="A101" s="197">
        <v>27</v>
      </c>
      <c r="B101" s="198" t="s">
        <v>26</v>
      </c>
      <c r="C101" s="210" t="s">
        <v>320</v>
      </c>
      <c r="D101" s="211"/>
      <c r="E101" s="220">
        <v>406.71</v>
      </c>
      <c r="F101" s="214">
        <f>D101-E101</f>
        <v>-406.71</v>
      </c>
      <c r="G101" s="237" t="s">
        <v>258</v>
      </c>
      <c r="H101" s="229"/>
      <c r="I101" s="229"/>
      <c r="J101" s="229"/>
      <c r="K101" s="229"/>
      <c r="L101" s="229"/>
      <c r="M101" s="229"/>
      <c r="N101" s="229"/>
      <c r="O101" s="229"/>
      <c r="P101" s="229"/>
    </row>
    <row r="102" spans="1:16" s="190" customFormat="1" ht="12.75">
      <c r="A102" s="193"/>
      <c r="B102" s="301" t="s">
        <v>9</v>
      </c>
      <c r="C102" s="194"/>
      <c r="D102" s="225">
        <f>SUM(D101:D101)</f>
        <v>0</v>
      </c>
      <c r="E102" s="217">
        <f>SUM(E101:E101)</f>
        <v>406.71</v>
      </c>
      <c r="F102" s="216">
        <f>SUM(F101:F101)</f>
        <v>-406.71</v>
      </c>
      <c r="G102" s="196"/>
      <c r="H102" s="229"/>
      <c r="I102" s="229"/>
      <c r="J102" s="229"/>
      <c r="K102" s="229"/>
      <c r="L102" s="229"/>
      <c r="M102" s="229"/>
      <c r="N102" s="229"/>
      <c r="O102" s="229"/>
      <c r="P102" s="229"/>
    </row>
    <row r="103" spans="1:16" s="190" customFormat="1" ht="28.5" customHeight="1">
      <c r="A103" s="184">
        <v>28</v>
      </c>
      <c r="B103" s="206" t="s">
        <v>27</v>
      </c>
      <c r="C103" s="210"/>
      <c r="D103" s="211"/>
      <c r="E103" s="220"/>
      <c r="F103" s="214"/>
      <c r="G103" s="237"/>
      <c r="H103" s="229"/>
      <c r="I103" s="229"/>
      <c r="J103" s="229"/>
      <c r="K103" s="229"/>
      <c r="L103" s="229"/>
      <c r="M103" s="229"/>
      <c r="N103" s="229"/>
      <c r="O103" s="229"/>
      <c r="P103" s="229"/>
    </row>
    <row r="104" spans="1:16" s="190" customFormat="1" ht="12.75">
      <c r="A104" s="193"/>
      <c r="B104" s="301" t="s">
        <v>9</v>
      </c>
      <c r="C104" s="215"/>
      <c r="D104" s="216">
        <f>SUM(D103:D103)</f>
        <v>0</v>
      </c>
      <c r="E104" s="216">
        <f>SUM(E103:E103)</f>
        <v>0</v>
      </c>
      <c r="F104" s="216">
        <f>SUM(F103:F103)</f>
        <v>0</v>
      </c>
      <c r="G104" s="237"/>
      <c r="H104" s="229"/>
      <c r="I104" s="229"/>
      <c r="J104" s="229"/>
      <c r="K104" s="229"/>
      <c r="L104" s="229"/>
      <c r="M104" s="229"/>
      <c r="N104" s="229"/>
      <c r="O104" s="229"/>
      <c r="P104" s="229"/>
    </row>
    <row r="105" spans="1:16" s="190" customFormat="1" ht="31.5" customHeight="1">
      <c r="A105" s="389">
        <v>29</v>
      </c>
      <c r="B105" s="386" t="s">
        <v>28</v>
      </c>
      <c r="C105" s="282" t="s">
        <v>290</v>
      </c>
      <c r="D105" s="284">
        <v>4000</v>
      </c>
      <c r="E105" s="220">
        <v>2838.57</v>
      </c>
      <c r="F105" s="188">
        <f>D105-E105</f>
        <v>1161.4299999999998</v>
      </c>
      <c r="G105" s="237" t="s">
        <v>258</v>
      </c>
      <c r="H105" s="229"/>
      <c r="I105" s="229"/>
      <c r="J105" s="229"/>
      <c r="K105" s="229"/>
      <c r="L105" s="229"/>
      <c r="M105" s="229"/>
      <c r="N105" s="229"/>
      <c r="O105" s="229"/>
      <c r="P105" s="229"/>
    </row>
    <row r="106" spans="1:16" s="190" customFormat="1" ht="45" customHeight="1">
      <c r="A106" s="390"/>
      <c r="B106" s="387"/>
      <c r="C106" s="279" t="s">
        <v>291</v>
      </c>
      <c r="D106" s="285">
        <v>95000</v>
      </c>
      <c r="E106" s="266">
        <f>65.2+77777.28*1.08+77777.28*0.5%*1.23</f>
        <v>84542.99267200001</v>
      </c>
      <c r="F106" s="188">
        <f>D106-E106</f>
        <v>10457.007327999992</v>
      </c>
      <c r="G106" s="237" t="s">
        <v>361</v>
      </c>
      <c r="H106" s="229"/>
      <c r="I106" s="229"/>
      <c r="J106" s="229"/>
      <c r="K106" s="229"/>
      <c r="L106" s="229"/>
      <c r="M106" s="229"/>
      <c r="N106" s="229"/>
      <c r="O106" s="229"/>
      <c r="P106" s="229"/>
    </row>
    <row r="107" spans="1:16" s="190" customFormat="1" ht="37.5" customHeight="1">
      <c r="A107" s="390"/>
      <c r="B107" s="387"/>
      <c r="C107" s="281" t="s">
        <v>321</v>
      </c>
      <c r="D107" s="285"/>
      <c r="E107" s="212">
        <f>34000.05*1.08+(34000.05*0.5%*1.23)</f>
        <v>36929.1543075</v>
      </c>
      <c r="F107" s="188">
        <f>D107-E107</f>
        <v>-36929.1543075</v>
      </c>
      <c r="G107" s="237" t="s">
        <v>361</v>
      </c>
      <c r="H107" s="229"/>
      <c r="I107" s="229"/>
      <c r="J107" s="229"/>
      <c r="K107" s="229"/>
      <c r="L107" s="229"/>
      <c r="M107" s="229"/>
      <c r="N107" s="229"/>
      <c r="O107" s="229"/>
      <c r="P107" s="229"/>
    </row>
    <row r="108" spans="1:16" s="190" customFormat="1" ht="37.5" customHeight="1">
      <c r="A108" s="390"/>
      <c r="B108" s="387"/>
      <c r="C108" s="281" t="s">
        <v>358</v>
      </c>
      <c r="D108" s="285"/>
      <c r="E108" s="212">
        <v>700</v>
      </c>
      <c r="F108" s="188">
        <f>D108-E108</f>
        <v>-700</v>
      </c>
      <c r="G108" s="237" t="s">
        <v>361</v>
      </c>
      <c r="H108" s="229"/>
      <c r="I108" s="229"/>
      <c r="J108" s="229"/>
      <c r="K108" s="229"/>
      <c r="L108" s="229"/>
      <c r="M108" s="229"/>
      <c r="N108" s="229"/>
      <c r="O108" s="229"/>
      <c r="P108" s="229"/>
    </row>
    <row r="109" spans="1:16" s="190" customFormat="1" ht="27.75" customHeight="1">
      <c r="A109" s="390"/>
      <c r="B109" s="387"/>
      <c r="C109" s="281" t="s">
        <v>366</v>
      </c>
      <c r="D109" s="285"/>
      <c r="E109" s="212">
        <f>500*1.23</f>
        <v>615</v>
      </c>
      <c r="F109" s="188">
        <f>D109-E109</f>
        <v>-615</v>
      </c>
      <c r="G109" s="237" t="s">
        <v>361</v>
      </c>
      <c r="H109" s="229"/>
      <c r="I109" s="229"/>
      <c r="J109" s="229"/>
      <c r="K109" s="229"/>
      <c r="L109" s="229"/>
      <c r="M109" s="229"/>
      <c r="N109" s="229"/>
      <c r="O109" s="229"/>
      <c r="P109" s="229"/>
    </row>
    <row r="110" spans="1:16" s="190" customFormat="1" ht="12.75">
      <c r="A110" s="193"/>
      <c r="B110" s="301" t="s">
        <v>9</v>
      </c>
      <c r="C110" s="194"/>
      <c r="D110" s="225">
        <f>SUM(D105:D107)+0.18</f>
        <v>99000.18</v>
      </c>
      <c r="E110" s="225">
        <f>SUM(E105:E109)</f>
        <v>125625.71697950002</v>
      </c>
      <c r="F110" s="225">
        <f>SUM(F105:F109)</f>
        <v>-26625.716979500008</v>
      </c>
      <c r="G110" s="196"/>
      <c r="H110" s="229"/>
      <c r="I110" s="229"/>
      <c r="J110" s="229"/>
      <c r="K110" s="229"/>
      <c r="L110" s="229"/>
      <c r="M110" s="229"/>
      <c r="N110" s="229"/>
      <c r="O110" s="229"/>
      <c r="P110" s="229"/>
    </row>
    <row r="111" spans="1:16" s="190" customFormat="1" ht="39.75" customHeight="1">
      <c r="A111" s="392">
        <v>30</v>
      </c>
      <c r="B111" s="396" t="s">
        <v>277</v>
      </c>
      <c r="C111" s="185" t="s">
        <v>292</v>
      </c>
      <c r="D111" s="226">
        <v>405000</v>
      </c>
      <c r="E111" s="212">
        <f>1230+101.3+62599.29+54000+172800+42.37+1251.55+160761.63*1.08+1853.81*1.23+19000</f>
        <v>486927.25669999997</v>
      </c>
      <c r="F111" s="214">
        <f>D111-E111</f>
        <v>-81927.25669999997</v>
      </c>
      <c r="G111" s="237" t="s">
        <v>361</v>
      </c>
      <c r="H111" s="229"/>
      <c r="I111" s="229"/>
      <c r="J111" s="229"/>
      <c r="K111" s="229"/>
      <c r="L111" s="229"/>
      <c r="M111" s="229"/>
      <c r="N111" s="229"/>
      <c r="O111" s="229"/>
      <c r="P111" s="229"/>
    </row>
    <row r="112" spans="1:16" s="190" customFormat="1" ht="16.5" customHeight="1">
      <c r="A112" s="392"/>
      <c r="B112" s="396"/>
      <c r="C112" s="210" t="s">
        <v>287</v>
      </c>
      <c r="D112" s="211">
        <v>10600</v>
      </c>
      <c r="E112" s="212">
        <f>2.81+6761.7+1504.86</f>
        <v>8269.37</v>
      </c>
      <c r="F112" s="214">
        <f>D112-E112</f>
        <v>2330.629999999999</v>
      </c>
      <c r="G112" s="237" t="s">
        <v>258</v>
      </c>
      <c r="H112" s="229"/>
      <c r="I112" s="229"/>
      <c r="J112" s="229"/>
      <c r="K112" s="229"/>
      <c r="L112" s="229"/>
      <c r="M112" s="229"/>
      <c r="N112" s="229"/>
      <c r="O112" s="229"/>
      <c r="P112" s="229"/>
    </row>
    <row r="113" spans="1:16" s="190" customFormat="1" ht="12.75">
      <c r="A113" s="193"/>
      <c r="B113" s="301" t="s">
        <v>9</v>
      </c>
      <c r="C113" s="194"/>
      <c r="D113" s="225">
        <f>SUM(D111:D112)</f>
        <v>415600</v>
      </c>
      <c r="E113" s="225">
        <f>SUM(E111:E112)</f>
        <v>495196.62669999996</v>
      </c>
      <c r="F113" s="225">
        <f>SUM(F111:F112)</f>
        <v>-79596.62669999996</v>
      </c>
      <c r="G113" s="196"/>
      <c r="H113" s="229"/>
      <c r="I113" s="229"/>
      <c r="J113" s="229"/>
      <c r="K113" s="229"/>
      <c r="L113" s="229"/>
      <c r="M113" s="229"/>
      <c r="N113" s="229"/>
      <c r="O113" s="229"/>
      <c r="P113" s="229"/>
    </row>
    <row r="114" spans="1:16" s="190" customFormat="1" ht="22.5" customHeight="1">
      <c r="A114" s="389">
        <v>31</v>
      </c>
      <c r="B114" s="386" t="s">
        <v>29</v>
      </c>
      <c r="C114" s="210" t="s">
        <v>287</v>
      </c>
      <c r="D114" s="227">
        <v>2500</v>
      </c>
      <c r="E114" s="283">
        <f>0.71+0.04+1992</f>
        <v>1992.75</v>
      </c>
      <c r="F114" s="214">
        <f>D114-E114</f>
        <v>507.25</v>
      </c>
      <c r="G114" s="237" t="s">
        <v>258</v>
      </c>
      <c r="H114" s="229"/>
      <c r="I114" s="229"/>
      <c r="J114" s="229"/>
      <c r="K114" s="229"/>
      <c r="L114" s="229"/>
      <c r="M114" s="229"/>
      <c r="N114" s="229"/>
      <c r="O114" s="229"/>
      <c r="P114" s="229"/>
    </row>
    <row r="115" spans="1:16" s="190" customFormat="1" ht="38.25">
      <c r="A115" s="391"/>
      <c r="B115" s="388"/>
      <c r="C115" s="210" t="s">
        <v>288</v>
      </c>
      <c r="D115" s="227">
        <v>710</v>
      </c>
      <c r="E115" s="227">
        <v>710</v>
      </c>
      <c r="F115" s="214">
        <f>D115-E115</f>
        <v>0</v>
      </c>
      <c r="G115" s="237" t="s">
        <v>367</v>
      </c>
      <c r="H115" s="229"/>
      <c r="I115" s="229"/>
      <c r="J115" s="229"/>
      <c r="K115" s="229"/>
      <c r="L115" s="229"/>
      <c r="M115" s="229"/>
      <c r="N115" s="229"/>
      <c r="O115" s="229"/>
      <c r="P115" s="229"/>
    </row>
    <row r="116" spans="1:16" s="190" customFormat="1" ht="12.75">
      <c r="A116" s="193"/>
      <c r="B116" s="301" t="s">
        <v>9</v>
      </c>
      <c r="C116" s="194"/>
      <c r="D116" s="225">
        <f>SUM(D114:D115)</f>
        <v>3210</v>
      </c>
      <c r="E116" s="225">
        <f>SUM(E114:E115)</f>
        <v>2702.75</v>
      </c>
      <c r="F116" s="225">
        <f>SUM(F114:F115)</f>
        <v>507.25</v>
      </c>
      <c r="G116" s="237"/>
      <c r="H116" s="229"/>
      <c r="I116" s="229"/>
      <c r="J116" s="229"/>
      <c r="K116" s="229"/>
      <c r="L116" s="229"/>
      <c r="M116" s="229"/>
      <c r="N116" s="229"/>
      <c r="O116" s="229"/>
      <c r="P116" s="229"/>
    </row>
    <row r="117" spans="1:16" s="190" customFormat="1" ht="18.75" customHeight="1">
      <c r="A117" s="389">
        <v>32</v>
      </c>
      <c r="B117" s="386" t="s">
        <v>30</v>
      </c>
      <c r="C117" s="289" t="s">
        <v>282</v>
      </c>
      <c r="D117" s="227">
        <v>3420</v>
      </c>
      <c r="E117" s="283">
        <f>3198.83+183.34</f>
        <v>3382.17</v>
      </c>
      <c r="F117" s="214">
        <f>D117-E117</f>
        <v>37.82999999999993</v>
      </c>
      <c r="G117" s="237" t="s">
        <v>258</v>
      </c>
      <c r="H117" s="229"/>
      <c r="I117" s="229"/>
      <c r="J117" s="229"/>
      <c r="K117" s="229"/>
      <c r="L117" s="229"/>
      <c r="M117" s="229"/>
      <c r="N117" s="229"/>
      <c r="O117" s="229"/>
      <c r="P117" s="229"/>
    </row>
    <row r="118" spans="1:16" s="190" customFormat="1" ht="25.5">
      <c r="A118" s="390"/>
      <c r="B118" s="387"/>
      <c r="C118" s="289" t="s">
        <v>293</v>
      </c>
      <c r="D118" s="227">
        <v>6000</v>
      </c>
      <c r="E118" s="212">
        <f>14.42+0.73+1851.85*1.08+(1851.85*0.5%*1.23)</f>
        <v>2026.5368775000002</v>
      </c>
      <c r="F118" s="214">
        <f>D118-E118</f>
        <v>3973.4631225</v>
      </c>
      <c r="G118" s="237" t="s">
        <v>361</v>
      </c>
      <c r="H118" s="229"/>
      <c r="I118" s="229"/>
      <c r="J118" s="229"/>
      <c r="K118" s="229"/>
      <c r="L118" s="229"/>
      <c r="M118" s="229"/>
      <c r="N118" s="229"/>
      <c r="O118" s="229"/>
      <c r="P118" s="229"/>
    </row>
    <row r="119" spans="1:16" s="190" customFormat="1" ht="18.75" customHeight="1">
      <c r="A119" s="390"/>
      <c r="B119" s="387"/>
      <c r="C119" s="210" t="s">
        <v>287</v>
      </c>
      <c r="D119" s="227">
        <v>1800</v>
      </c>
      <c r="E119" s="212">
        <f>0.71+0.04+1487.7</f>
        <v>1488.45</v>
      </c>
      <c r="F119" s="214">
        <f>D119-E119</f>
        <v>311.54999999999995</v>
      </c>
      <c r="G119" s="237" t="s">
        <v>258</v>
      </c>
      <c r="H119" s="229"/>
      <c r="I119" s="229"/>
      <c r="J119" s="229"/>
      <c r="K119" s="229"/>
      <c r="L119" s="229"/>
      <c r="M119" s="229"/>
      <c r="N119" s="229"/>
      <c r="O119" s="229"/>
      <c r="P119" s="229"/>
    </row>
    <row r="120" spans="1:16" s="190" customFormat="1" ht="38.25">
      <c r="A120" s="391"/>
      <c r="B120" s="388"/>
      <c r="C120" s="210" t="s">
        <v>288</v>
      </c>
      <c r="D120" s="227">
        <v>710</v>
      </c>
      <c r="E120" s="212">
        <v>710</v>
      </c>
      <c r="F120" s="214">
        <f>D120-E120</f>
        <v>0</v>
      </c>
      <c r="G120" s="237" t="s">
        <v>367</v>
      </c>
      <c r="H120" s="229"/>
      <c r="I120" s="229"/>
      <c r="J120" s="229"/>
      <c r="K120" s="229"/>
      <c r="L120" s="229"/>
      <c r="M120" s="229"/>
      <c r="N120" s="229"/>
      <c r="O120" s="229"/>
      <c r="P120" s="229"/>
    </row>
    <row r="121" spans="1:16" s="190" customFormat="1" ht="12.75">
      <c r="A121" s="193"/>
      <c r="B121" s="301" t="s">
        <v>9</v>
      </c>
      <c r="C121" s="194"/>
      <c r="D121" s="225">
        <f>SUM(D117:D120)</f>
        <v>11930</v>
      </c>
      <c r="E121" s="225">
        <f>SUM(E117:E120)</f>
        <v>7607.1568775000005</v>
      </c>
      <c r="F121" s="225">
        <f>SUM(F117:F120)</f>
        <v>4322.8431224999995</v>
      </c>
      <c r="G121" s="196"/>
      <c r="H121" s="229"/>
      <c r="I121" s="229"/>
      <c r="J121" s="229"/>
      <c r="K121" s="229"/>
      <c r="L121" s="229"/>
      <c r="M121" s="229"/>
      <c r="N121" s="229"/>
      <c r="O121" s="229"/>
      <c r="P121" s="229"/>
    </row>
    <row r="122" spans="1:16" s="223" customFormat="1" ht="14.25" customHeight="1">
      <c r="A122" s="389">
        <v>33</v>
      </c>
      <c r="B122" s="386" t="s">
        <v>31</v>
      </c>
      <c r="C122" s="210" t="s">
        <v>287</v>
      </c>
      <c r="D122" s="227">
        <v>2500</v>
      </c>
      <c r="E122" s="218">
        <f>0.71+0.04+1992</f>
        <v>1992.75</v>
      </c>
      <c r="F122" s="214">
        <f>D122-E122</f>
        <v>507.25</v>
      </c>
      <c r="G122" s="237" t="s">
        <v>258</v>
      </c>
      <c r="H122" s="229"/>
      <c r="I122" s="229"/>
      <c r="J122" s="229"/>
      <c r="K122" s="229"/>
      <c r="L122" s="229"/>
      <c r="M122" s="229"/>
      <c r="N122" s="229"/>
      <c r="O122" s="229"/>
      <c r="P122" s="229"/>
    </row>
    <row r="123" spans="1:16" s="223" customFormat="1" ht="38.25">
      <c r="A123" s="391"/>
      <c r="B123" s="388"/>
      <c r="C123" s="210" t="s">
        <v>288</v>
      </c>
      <c r="D123" s="227">
        <v>710</v>
      </c>
      <c r="E123" s="218">
        <v>710</v>
      </c>
      <c r="F123" s="214">
        <f>D123-E123</f>
        <v>0</v>
      </c>
      <c r="G123" s="237" t="s">
        <v>367</v>
      </c>
      <c r="H123" s="229"/>
      <c r="I123" s="229"/>
      <c r="J123" s="229"/>
      <c r="K123" s="229"/>
      <c r="L123" s="229"/>
      <c r="M123" s="229"/>
      <c r="N123" s="229"/>
      <c r="O123" s="229"/>
      <c r="P123" s="229"/>
    </row>
    <row r="124" spans="1:16" s="190" customFormat="1" ht="12.75">
      <c r="A124" s="193"/>
      <c r="B124" s="301" t="s">
        <v>9</v>
      </c>
      <c r="C124" s="194"/>
      <c r="D124" s="225">
        <f>SUM(D122:D123)</f>
        <v>3210</v>
      </c>
      <c r="E124" s="225">
        <f>SUM(E122:E123)</f>
        <v>2702.75</v>
      </c>
      <c r="F124" s="225">
        <f>SUM(F122:F123)</f>
        <v>507.25</v>
      </c>
      <c r="G124" s="196"/>
      <c r="H124" s="229"/>
      <c r="I124" s="229"/>
      <c r="J124" s="229"/>
      <c r="K124" s="229"/>
      <c r="L124" s="229"/>
      <c r="M124" s="229"/>
      <c r="N124" s="229"/>
      <c r="O124" s="229"/>
      <c r="P124" s="229"/>
    </row>
    <row r="125" spans="1:16" s="190" customFormat="1" ht="18" customHeight="1">
      <c r="A125" s="389">
        <v>34</v>
      </c>
      <c r="B125" s="386" t="s">
        <v>32</v>
      </c>
      <c r="C125" s="210" t="s">
        <v>287</v>
      </c>
      <c r="D125" s="199">
        <v>1800</v>
      </c>
      <c r="E125" s="212">
        <f>0.71+0.04+1487.7</f>
        <v>1488.45</v>
      </c>
      <c r="F125" s="220">
        <f>D125-E125</f>
        <v>311.54999999999995</v>
      </c>
      <c r="G125" s="237" t="s">
        <v>258</v>
      </c>
      <c r="H125" s="229"/>
      <c r="I125" s="229"/>
      <c r="J125" s="229"/>
      <c r="K125" s="229"/>
      <c r="L125" s="229"/>
      <c r="M125" s="229"/>
      <c r="N125" s="229"/>
      <c r="O125" s="229"/>
      <c r="P125" s="229"/>
    </row>
    <row r="126" spans="1:16" s="190" customFormat="1" ht="38.25">
      <c r="A126" s="390"/>
      <c r="B126" s="387"/>
      <c r="C126" s="210" t="s">
        <v>288</v>
      </c>
      <c r="D126" s="199">
        <v>710</v>
      </c>
      <c r="E126" s="212">
        <v>710</v>
      </c>
      <c r="F126" s="220">
        <f>D126-E126</f>
        <v>0</v>
      </c>
      <c r="G126" s="237" t="s">
        <v>367</v>
      </c>
      <c r="H126" s="229"/>
      <c r="I126" s="229"/>
      <c r="J126" s="229"/>
      <c r="K126" s="229"/>
      <c r="L126" s="229"/>
      <c r="M126" s="229"/>
      <c r="N126" s="229"/>
      <c r="O126" s="229"/>
      <c r="P126" s="229"/>
    </row>
    <row r="127" spans="1:16" s="190" customFormat="1" ht="38.25">
      <c r="A127" s="391"/>
      <c r="B127" s="388"/>
      <c r="C127" s="281" t="s">
        <v>359</v>
      </c>
      <c r="D127" s="199"/>
      <c r="E127" s="212">
        <v>700</v>
      </c>
      <c r="F127" s="220">
        <f>D127-E127</f>
        <v>-700</v>
      </c>
      <c r="G127" s="237" t="s">
        <v>361</v>
      </c>
      <c r="H127" s="229"/>
      <c r="I127" s="229"/>
      <c r="J127" s="229"/>
      <c r="K127" s="229"/>
      <c r="L127" s="229"/>
      <c r="M127" s="229"/>
      <c r="N127" s="229"/>
      <c r="O127" s="229"/>
      <c r="P127" s="229"/>
    </row>
    <row r="128" spans="1:16" s="190" customFormat="1" ht="12.75">
      <c r="A128" s="193"/>
      <c r="B128" s="301" t="s">
        <v>9</v>
      </c>
      <c r="C128" s="194"/>
      <c r="D128" s="225">
        <f>SUM(D125:D126)</f>
        <v>2510</v>
      </c>
      <c r="E128" s="225">
        <f>SUM(E125:E127)</f>
        <v>2898.45</v>
      </c>
      <c r="F128" s="225">
        <f>SUM(F125:F127)</f>
        <v>-388.45000000000005</v>
      </c>
      <c r="G128" s="196"/>
      <c r="H128" s="229"/>
      <c r="I128" s="229"/>
      <c r="J128" s="229"/>
      <c r="K128" s="229"/>
      <c r="L128" s="229"/>
      <c r="M128" s="229"/>
      <c r="N128" s="229"/>
      <c r="O128" s="229"/>
      <c r="P128" s="229"/>
    </row>
    <row r="129" spans="1:7" s="229" customFormat="1" ht="16.5" customHeight="1">
      <c r="A129" s="389">
        <v>35</v>
      </c>
      <c r="B129" s="386" t="s">
        <v>33</v>
      </c>
      <c r="C129" s="210" t="s">
        <v>287</v>
      </c>
      <c r="D129" s="199">
        <v>1800</v>
      </c>
      <c r="E129" s="212">
        <f>0.75+0.03+1487.7</f>
        <v>1488.48</v>
      </c>
      <c r="F129" s="228">
        <f>D129-E129</f>
        <v>311.52</v>
      </c>
      <c r="G129" s="237" t="s">
        <v>258</v>
      </c>
    </row>
    <row r="130" spans="1:7" s="229" customFormat="1" ht="38.25">
      <c r="A130" s="391"/>
      <c r="B130" s="388"/>
      <c r="C130" s="210" t="s">
        <v>288</v>
      </c>
      <c r="D130" s="199">
        <v>740</v>
      </c>
      <c r="E130" s="212">
        <v>740</v>
      </c>
      <c r="F130" s="228">
        <f>D130-E130</f>
        <v>0</v>
      </c>
      <c r="G130" s="237" t="s">
        <v>367</v>
      </c>
    </row>
    <row r="131" spans="1:16" s="190" customFormat="1" ht="12.75">
      <c r="A131" s="193"/>
      <c r="B131" s="301" t="s">
        <v>9</v>
      </c>
      <c r="C131" s="194"/>
      <c r="D131" s="225">
        <f>SUM(D129:D130)</f>
        <v>2540</v>
      </c>
      <c r="E131" s="225">
        <f>E129+E130</f>
        <v>2228.48</v>
      </c>
      <c r="F131" s="225">
        <f>F129+F130</f>
        <v>311.52</v>
      </c>
      <c r="G131" s="237"/>
      <c r="H131" s="229"/>
      <c r="I131" s="229"/>
      <c r="J131" s="229"/>
      <c r="K131" s="229"/>
      <c r="L131" s="229"/>
      <c r="M131" s="229"/>
      <c r="N131" s="229"/>
      <c r="O131" s="229"/>
      <c r="P131" s="229"/>
    </row>
    <row r="132" spans="1:16" s="190" customFormat="1" ht="12.75">
      <c r="A132" s="197">
        <v>36</v>
      </c>
      <c r="B132" s="198" t="s">
        <v>127</v>
      </c>
      <c r="C132" s="210" t="s">
        <v>320</v>
      </c>
      <c r="D132" s="208"/>
      <c r="E132" s="220">
        <v>255.18</v>
      </c>
      <c r="F132" s="188">
        <f>D132-E132</f>
        <v>-255.18</v>
      </c>
      <c r="G132" s="237" t="s">
        <v>258</v>
      </c>
      <c r="H132" s="229"/>
      <c r="I132" s="229"/>
      <c r="J132" s="229"/>
      <c r="K132" s="229"/>
      <c r="L132" s="229"/>
      <c r="M132" s="229"/>
      <c r="N132" s="229"/>
      <c r="O132" s="229"/>
      <c r="P132" s="229"/>
    </row>
    <row r="133" spans="1:16" s="190" customFormat="1" ht="12.75">
      <c r="A133" s="193"/>
      <c r="B133" s="301" t="s">
        <v>9</v>
      </c>
      <c r="C133" s="194"/>
      <c r="D133" s="225">
        <f>D132</f>
        <v>0</v>
      </c>
      <c r="E133" s="217">
        <f>SUM(E132:E132)</f>
        <v>255.18</v>
      </c>
      <c r="F133" s="217">
        <f>SUM(F132:F132)</f>
        <v>-255.18</v>
      </c>
      <c r="G133" s="192"/>
      <c r="H133" s="229"/>
      <c r="I133" s="229"/>
      <c r="J133" s="229"/>
      <c r="K133" s="229"/>
      <c r="L133" s="229"/>
      <c r="M133" s="229"/>
      <c r="N133" s="229"/>
      <c r="O133" s="229"/>
      <c r="P133" s="229"/>
    </row>
    <row r="134" spans="1:16" s="190" customFormat="1" ht="12.75">
      <c r="A134" s="394">
        <v>37</v>
      </c>
      <c r="B134" s="386" t="s">
        <v>123</v>
      </c>
      <c r="C134" s="210" t="s">
        <v>287</v>
      </c>
      <c r="D134" s="199">
        <v>3100</v>
      </c>
      <c r="E134" s="220">
        <f>0.93+2253.9</f>
        <v>2254.83</v>
      </c>
      <c r="F134" s="214">
        <f>D134-E134</f>
        <v>845.1700000000001</v>
      </c>
      <c r="G134" s="237" t="s">
        <v>258</v>
      </c>
      <c r="H134" s="229"/>
      <c r="I134" s="229"/>
      <c r="J134" s="229"/>
      <c r="K134" s="229"/>
      <c r="L134" s="229"/>
      <c r="M134" s="229"/>
      <c r="N134" s="229"/>
      <c r="O134" s="229"/>
      <c r="P134" s="229"/>
    </row>
    <row r="135" spans="1:16" s="190" customFormat="1" ht="12.75">
      <c r="A135" s="401"/>
      <c r="B135" s="387"/>
      <c r="C135" s="210" t="s">
        <v>320</v>
      </c>
      <c r="D135" s="199"/>
      <c r="E135" s="220">
        <v>39.33</v>
      </c>
      <c r="F135" s="214">
        <f>D135-E135</f>
        <v>-39.33</v>
      </c>
      <c r="G135" s="237" t="s">
        <v>258</v>
      </c>
      <c r="H135" s="229"/>
      <c r="I135" s="229"/>
      <c r="J135" s="229"/>
      <c r="K135" s="229"/>
      <c r="L135" s="229"/>
      <c r="M135" s="229"/>
      <c r="N135" s="229"/>
      <c r="O135" s="229"/>
      <c r="P135" s="229"/>
    </row>
    <row r="136" spans="1:16" s="190" customFormat="1" ht="20.25" customHeight="1">
      <c r="A136" s="395"/>
      <c r="B136" s="388"/>
      <c r="C136" s="210" t="s">
        <v>294</v>
      </c>
      <c r="D136" s="199">
        <v>6000</v>
      </c>
      <c r="E136" s="220">
        <v>6000</v>
      </c>
      <c r="F136" s="214">
        <f>D136-E136</f>
        <v>0</v>
      </c>
      <c r="G136" s="192" t="s">
        <v>14</v>
      </c>
      <c r="H136" s="229"/>
      <c r="I136" s="229"/>
      <c r="J136" s="229"/>
      <c r="K136" s="229"/>
      <c r="L136" s="229"/>
      <c r="M136" s="229"/>
      <c r="N136" s="229"/>
      <c r="O136" s="229"/>
      <c r="P136" s="229"/>
    </row>
    <row r="137" spans="1:16" s="190" customFormat="1" ht="12.75">
      <c r="A137" s="230"/>
      <c r="B137" s="301" t="s">
        <v>9</v>
      </c>
      <c r="C137" s="194"/>
      <c r="D137" s="225">
        <f>SUM(D134:D136)</f>
        <v>9100</v>
      </c>
      <c r="E137" s="225">
        <f>SUM(E134:E136)</f>
        <v>8294.16</v>
      </c>
      <c r="F137" s="225">
        <f>SUM(F134:F136)</f>
        <v>805.84</v>
      </c>
      <c r="G137" s="237"/>
      <c r="H137" s="229"/>
      <c r="I137" s="229"/>
      <c r="J137" s="229"/>
      <c r="K137" s="229"/>
      <c r="L137" s="229"/>
      <c r="M137" s="229"/>
      <c r="N137" s="229"/>
      <c r="O137" s="229"/>
      <c r="P137" s="229"/>
    </row>
    <row r="138" spans="1:16" s="190" customFormat="1" ht="30" customHeight="1">
      <c r="A138" s="394">
        <v>38</v>
      </c>
      <c r="B138" s="386" t="s">
        <v>130</v>
      </c>
      <c r="C138" s="204" t="s">
        <v>295</v>
      </c>
      <c r="D138" s="205">
        <v>7000</v>
      </c>
      <c r="E138" s="191">
        <v>7560</v>
      </c>
      <c r="F138" s="228">
        <f>D138-E138</f>
        <v>-560</v>
      </c>
      <c r="G138" s="237" t="s">
        <v>258</v>
      </c>
      <c r="H138" s="229"/>
      <c r="I138" s="229"/>
      <c r="J138" s="229"/>
      <c r="K138" s="229"/>
      <c r="L138" s="229"/>
      <c r="M138" s="229"/>
      <c r="N138" s="229"/>
      <c r="O138" s="229"/>
      <c r="P138" s="229"/>
    </row>
    <row r="139" spans="1:16" s="190" customFormat="1" ht="12.75">
      <c r="A139" s="395"/>
      <c r="B139" s="388"/>
      <c r="C139" s="204" t="s">
        <v>320</v>
      </c>
      <c r="D139" s="205"/>
      <c r="E139" s="191">
        <f>46.49+85</f>
        <v>131.49</v>
      </c>
      <c r="F139" s="228">
        <f>D139-E139</f>
        <v>-131.49</v>
      </c>
      <c r="G139" s="237" t="s">
        <v>258</v>
      </c>
      <c r="H139" s="229"/>
      <c r="I139" s="229"/>
      <c r="J139" s="229"/>
      <c r="K139" s="229"/>
      <c r="L139" s="229"/>
      <c r="M139" s="229"/>
      <c r="N139" s="229"/>
      <c r="O139" s="229"/>
      <c r="P139" s="229"/>
    </row>
    <row r="140" spans="1:16" s="190" customFormat="1" ht="12.75">
      <c r="A140" s="230"/>
      <c r="B140" s="302" t="s">
        <v>9</v>
      </c>
      <c r="C140" s="232"/>
      <c r="D140" s="225">
        <f>SUM(D138:D139)</f>
        <v>7000</v>
      </c>
      <c r="E140" s="225">
        <f>SUM(E138:E139)</f>
        <v>7691.49</v>
      </c>
      <c r="F140" s="225">
        <f>SUM(F138:F139)</f>
        <v>-691.49</v>
      </c>
      <c r="G140" s="196"/>
      <c r="H140" s="229"/>
      <c r="I140" s="229"/>
      <c r="J140" s="229"/>
      <c r="K140" s="229"/>
      <c r="L140" s="229"/>
      <c r="M140" s="229"/>
      <c r="N140" s="229"/>
      <c r="O140" s="229"/>
      <c r="P140" s="229"/>
    </row>
    <row r="141" spans="1:16" s="190" customFormat="1" ht="12.75">
      <c r="A141" s="389">
        <v>39</v>
      </c>
      <c r="B141" s="383" t="s">
        <v>134</v>
      </c>
      <c r="C141" s="186" t="s">
        <v>296</v>
      </c>
      <c r="D141" s="199">
        <v>4500</v>
      </c>
      <c r="E141" s="201">
        <f>1790.5*1.08+13.6</f>
        <v>1947.3400000000001</v>
      </c>
      <c r="F141" s="227">
        <f>D141-E141</f>
        <v>2552.66</v>
      </c>
      <c r="G141" s="237" t="s">
        <v>258</v>
      </c>
      <c r="H141" s="229"/>
      <c r="I141" s="229"/>
      <c r="J141" s="229"/>
      <c r="K141" s="229"/>
      <c r="L141" s="229"/>
      <c r="M141" s="229"/>
      <c r="N141" s="229"/>
      <c r="O141" s="229"/>
      <c r="P141" s="229"/>
    </row>
    <row r="142" spans="1:16" s="190" customFormat="1" ht="29.25" customHeight="1">
      <c r="A142" s="391"/>
      <c r="B142" s="385"/>
      <c r="C142" s="185" t="s">
        <v>315</v>
      </c>
      <c r="D142" s="199">
        <v>4500</v>
      </c>
      <c r="E142" s="212">
        <v>4500</v>
      </c>
      <c r="F142" s="227">
        <f>D142-E142</f>
        <v>0</v>
      </c>
      <c r="G142" s="237" t="s">
        <v>258</v>
      </c>
      <c r="H142" s="229"/>
      <c r="I142" s="229"/>
      <c r="J142" s="229"/>
      <c r="K142" s="229"/>
      <c r="L142" s="229"/>
      <c r="M142" s="229"/>
      <c r="N142" s="229"/>
      <c r="O142" s="229"/>
      <c r="P142" s="229"/>
    </row>
    <row r="143" spans="1:16" s="190" customFormat="1" ht="12.75">
      <c r="A143" s="193"/>
      <c r="B143" s="301" t="s">
        <v>9</v>
      </c>
      <c r="C143" s="232"/>
      <c r="D143" s="216">
        <f>SUM(D141:D142)</f>
        <v>9000</v>
      </c>
      <c r="E143" s="217">
        <f>SUM(E141:E142)</f>
        <v>6447.34</v>
      </c>
      <c r="F143" s="225">
        <f>SUM(F141:F142)</f>
        <v>2552.66</v>
      </c>
      <c r="G143" s="237"/>
      <c r="H143" s="229"/>
      <c r="I143" s="229"/>
      <c r="J143" s="229"/>
      <c r="K143" s="229"/>
      <c r="L143" s="229"/>
      <c r="M143" s="229"/>
      <c r="N143" s="229"/>
      <c r="O143" s="229"/>
      <c r="P143" s="229"/>
    </row>
    <row r="144" spans="1:16" s="190" customFormat="1" ht="29.25" customHeight="1">
      <c r="A144" s="389">
        <v>40</v>
      </c>
      <c r="B144" s="383" t="s">
        <v>141</v>
      </c>
      <c r="C144" s="206" t="s">
        <v>297</v>
      </c>
      <c r="D144" s="208">
        <v>30000</v>
      </c>
      <c r="E144" s="233">
        <f>18.31+20150.33+114.74</f>
        <v>20283.380000000005</v>
      </c>
      <c r="F144" s="227">
        <f>D144-E144</f>
        <v>9716.619999999995</v>
      </c>
      <c r="G144" s="237" t="s">
        <v>258</v>
      </c>
      <c r="H144" s="229"/>
      <c r="I144" s="229"/>
      <c r="J144" s="229"/>
      <c r="K144" s="229"/>
      <c r="L144" s="229"/>
      <c r="M144" s="229"/>
      <c r="N144" s="229"/>
      <c r="O144" s="229"/>
      <c r="P144" s="229"/>
    </row>
    <row r="145" spans="1:16" s="190" customFormat="1" ht="29.25" customHeight="1">
      <c r="A145" s="390"/>
      <c r="B145" s="384"/>
      <c r="C145" s="206" t="s">
        <v>352</v>
      </c>
      <c r="D145" s="208">
        <v>35000</v>
      </c>
      <c r="E145" s="233">
        <v>24262.8</v>
      </c>
      <c r="F145" s="227">
        <f>D145-E145</f>
        <v>10737.2</v>
      </c>
      <c r="G145" s="237" t="s">
        <v>258</v>
      </c>
      <c r="H145" s="229"/>
      <c r="I145" s="229"/>
      <c r="J145" s="229"/>
      <c r="K145" s="229"/>
      <c r="L145" s="229"/>
      <c r="M145" s="229"/>
      <c r="N145" s="229"/>
      <c r="O145" s="229"/>
      <c r="P145" s="229"/>
    </row>
    <row r="146" spans="1:16" s="190" customFormat="1" ht="29.25" customHeight="1">
      <c r="A146" s="391"/>
      <c r="B146" s="385"/>
      <c r="C146" s="206" t="s">
        <v>298</v>
      </c>
      <c r="D146" s="208">
        <v>2500</v>
      </c>
      <c r="E146" s="233">
        <f>1836</f>
        <v>1836</v>
      </c>
      <c r="F146" s="227">
        <f>D146-E146</f>
        <v>664</v>
      </c>
      <c r="G146" s="237" t="s">
        <v>258</v>
      </c>
      <c r="H146" s="229"/>
      <c r="I146" s="229"/>
      <c r="J146" s="229"/>
      <c r="K146" s="229"/>
      <c r="L146" s="229"/>
      <c r="M146" s="229"/>
      <c r="N146" s="229"/>
      <c r="O146" s="229"/>
      <c r="P146" s="229"/>
    </row>
    <row r="147" spans="1:16" s="190" customFormat="1" ht="12.75">
      <c r="A147" s="193"/>
      <c r="B147" s="301" t="s">
        <v>9</v>
      </c>
      <c r="C147" s="232"/>
      <c r="D147" s="216">
        <f>SUM(D144:D146)</f>
        <v>67500</v>
      </c>
      <c r="E147" s="217">
        <f>SUM(E144:E146)</f>
        <v>46382.18000000001</v>
      </c>
      <c r="F147" s="225">
        <f>SUM(F144:F146)</f>
        <v>21117.819999999996</v>
      </c>
      <c r="G147" s="237"/>
      <c r="H147" s="229"/>
      <c r="I147" s="229"/>
      <c r="J147" s="229"/>
      <c r="K147" s="229"/>
      <c r="L147" s="229"/>
      <c r="M147" s="229"/>
      <c r="N147" s="229"/>
      <c r="O147" s="229"/>
      <c r="P147" s="229"/>
    </row>
    <row r="148" spans="1:16" s="190" customFormat="1" ht="12.75">
      <c r="A148" s="184">
        <v>41</v>
      </c>
      <c r="B148" s="289" t="s">
        <v>138</v>
      </c>
      <c r="C148" s="186"/>
      <c r="D148" s="199"/>
      <c r="E148" s="212"/>
      <c r="F148" s="227">
        <f>D148-E148</f>
        <v>0</v>
      </c>
      <c r="G148" s="237"/>
      <c r="H148" s="229"/>
      <c r="I148" s="229"/>
      <c r="J148" s="229"/>
      <c r="K148" s="229"/>
      <c r="L148" s="229"/>
      <c r="M148" s="229"/>
      <c r="N148" s="229"/>
      <c r="O148" s="229"/>
      <c r="P148" s="229"/>
    </row>
    <row r="149" spans="1:16" s="190" customFormat="1" ht="12.75">
      <c r="A149" s="193"/>
      <c r="B149" s="301" t="s">
        <v>9</v>
      </c>
      <c r="C149" s="232"/>
      <c r="D149" s="216">
        <f>SUM(D148:D148)</f>
        <v>0</v>
      </c>
      <c r="E149" s="216">
        <f>SUM(E148:E148)</f>
        <v>0</v>
      </c>
      <c r="F149" s="216">
        <f>SUM(F148:F148)</f>
        <v>0</v>
      </c>
      <c r="G149" s="196"/>
      <c r="H149" s="229"/>
      <c r="I149" s="229"/>
      <c r="J149" s="229"/>
      <c r="K149" s="229"/>
      <c r="L149" s="229"/>
      <c r="M149" s="229"/>
      <c r="N149" s="229"/>
      <c r="O149" s="229"/>
      <c r="P149" s="229"/>
    </row>
    <row r="150" spans="1:16" s="235" customFormat="1" ht="30" customHeight="1">
      <c r="A150" s="389">
        <v>42</v>
      </c>
      <c r="B150" s="383" t="s">
        <v>145</v>
      </c>
      <c r="C150" s="206" t="s">
        <v>352</v>
      </c>
      <c r="D150" s="208">
        <v>35000</v>
      </c>
      <c r="E150" s="233">
        <v>35000</v>
      </c>
      <c r="F150" s="227">
        <f>D150-E150</f>
        <v>0</v>
      </c>
      <c r="G150" s="237" t="s">
        <v>258</v>
      </c>
      <c r="H150" s="344"/>
      <c r="I150" s="344"/>
      <c r="J150" s="344"/>
      <c r="K150" s="344"/>
      <c r="L150" s="344"/>
      <c r="M150" s="344"/>
      <c r="N150" s="344"/>
      <c r="O150" s="344"/>
      <c r="P150" s="344"/>
    </row>
    <row r="151" spans="1:16" s="235" customFormat="1" ht="25.5">
      <c r="A151" s="391"/>
      <c r="B151" s="385"/>
      <c r="C151" s="206" t="s">
        <v>298</v>
      </c>
      <c r="D151" s="208">
        <v>2500</v>
      </c>
      <c r="E151" s="233">
        <v>1836</v>
      </c>
      <c r="F151" s="227">
        <f>D151-E151</f>
        <v>664</v>
      </c>
      <c r="G151" s="237" t="s">
        <v>258</v>
      </c>
      <c r="H151" s="344"/>
      <c r="I151" s="344"/>
      <c r="J151" s="344"/>
      <c r="K151" s="344"/>
      <c r="L151" s="344"/>
      <c r="M151" s="344"/>
      <c r="N151" s="344"/>
      <c r="O151" s="344"/>
      <c r="P151" s="344"/>
    </row>
    <row r="152" spans="1:16" s="190" customFormat="1" ht="12.75">
      <c r="A152" s="193"/>
      <c r="B152" s="301" t="s">
        <v>9</v>
      </c>
      <c r="C152" s="232"/>
      <c r="D152" s="216">
        <f>SUM(D150:D151)</f>
        <v>37500</v>
      </c>
      <c r="E152" s="217">
        <f>SUM(E150:E151)</f>
        <v>36836</v>
      </c>
      <c r="F152" s="225">
        <f>SUM(F150:F151)</f>
        <v>664</v>
      </c>
      <c r="G152" s="237"/>
      <c r="H152" s="229"/>
      <c r="I152" s="229"/>
      <c r="J152" s="229"/>
      <c r="K152" s="229"/>
      <c r="L152" s="229"/>
      <c r="M152" s="229"/>
      <c r="N152" s="229"/>
      <c r="O152" s="229"/>
      <c r="P152" s="229"/>
    </row>
    <row r="153" spans="1:16" s="190" customFormat="1" ht="12.75">
      <c r="A153" s="389">
        <v>43</v>
      </c>
      <c r="B153" s="383" t="s">
        <v>148</v>
      </c>
      <c r="C153" s="186" t="s">
        <v>287</v>
      </c>
      <c r="D153" s="199">
        <v>4200</v>
      </c>
      <c r="E153" s="234">
        <f>2.08+3972.33</f>
        <v>3974.41</v>
      </c>
      <c r="F153" s="227">
        <f>D153-E153</f>
        <v>225.59000000000015</v>
      </c>
      <c r="G153" s="237" t="s">
        <v>258</v>
      </c>
      <c r="H153" s="229"/>
      <c r="I153" s="229"/>
      <c r="J153" s="229"/>
      <c r="K153" s="229"/>
      <c r="L153" s="229"/>
      <c r="M153" s="229"/>
      <c r="N153" s="229"/>
      <c r="O153" s="229"/>
      <c r="P153" s="229"/>
    </row>
    <row r="154" spans="1:16" s="190" customFormat="1" ht="12.75">
      <c r="A154" s="391"/>
      <c r="B154" s="385"/>
      <c r="C154" s="186" t="s">
        <v>320</v>
      </c>
      <c r="D154" s="199"/>
      <c r="E154" s="234">
        <v>85</v>
      </c>
      <c r="F154" s="227">
        <f>D154-E154</f>
        <v>-85</v>
      </c>
      <c r="G154" s="237" t="s">
        <v>258</v>
      </c>
      <c r="H154" s="229"/>
      <c r="I154" s="229"/>
      <c r="J154" s="229"/>
      <c r="K154" s="229"/>
      <c r="L154" s="229"/>
      <c r="M154" s="229"/>
      <c r="N154" s="229"/>
      <c r="O154" s="229"/>
      <c r="P154" s="229"/>
    </row>
    <row r="155" spans="1:16" s="190" customFormat="1" ht="12.75">
      <c r="A155" s="193"/>
      <c r="B155" s="301" t="s">
        <v>9</v>
      </c>
      <c r="C155" s="232"/>
      <c r="D155" s="216">
        <f>SUM(D153:D154)</f>
        <v>4200</v>
      </c>
      <c r="E155" s="216">
        <f>SUM(E153:E154)</f>
        <v>4059.41</v>
      </c>
      <c r="F155" s="225">
        <f>SUM(F153:F154)</f>
        <v>140.59000000000015</v>
      </c>
      <c r="G155" s="237"/>
      <c r="H155" s="229"/>
      <c r="I155" s="229"/>
      <c r="J155" s="229"/>
      <c r="K155" s="229"/>
      <c r="L155" s="229"/>
      <c r="M155" s="229"/>
      <c r="N155" s="229"/>
      <c r="O155" s="229"/>
      <c r="P155" s="229"/>
    </row>
    <row r="156" spans="1:16" s="190" customFormat="1" ht="12.75">
      <c r="A156" s="389">
        <v>44</v>
      </c>
      <c r="B156" s="383" t="s">
        <v>152</v>
      </c>
      <c r="C156" s="186" t="s">
        <v>299</v>
      </c>
      <c r="D156" s="199">
        <v>8500</v>
      </c>
      <c r="E156" s="200">
        <f>24.95+34.37+6035.97</f>
        <v>6095.29</v>
      </c>
      <c r="F156" s="227">
        <f>D156-E156</f>
        <v>2404.71</v>
      </c>
      <c r="G156" s="237" t="s">
        <v>258</v>
      </c>
      <c r="H156" s="229"/>
      <c r="I156" s="229"/>
      <c r="J156" s="229"/>
      <c r="K156" s="229"/>
      <c r="L156" s="229"/>
      <c r="M156" s="229"/>
      <c r="N156" s="229"/>
      <c r="O156" s="229"/>
      <c r="P156" s="229"/>
    </row>
    <row r="157" spans="1:16" s="190" customFormat="1" ht="12.75">
      <c r="A157" s="390"/>
      <c r="B157" s="384"/>
      <c r="C157" s="186" t="s">
        <v>287</v>
      </c>
      <c r="D157" s="199">
        <v>7200</v>
      </c>
      <c r="E157" s="200">
        <f>1.07+4555.74</f>
        <v>4556.8099999999995</v>
      </c>
      <c r="F157" s="227">
        <f>D157-E157</f>
        <v>2643.1900000000005</v>
      </c>
      <c r="G157" s="237" t="s">
        <v>258</v>
      </c>
      <c r="H157" s="229"/>
      <c r="I157" s="229"/>
      <c r="J157" s="229"/>
      <c r="K157" s="229"/>
      <c r="L157" s="229"/>
      <c r="M157" s="229"/>
      <c r="N157" s="229"/>
      <c r="O157" s="229"/>
      <c r="P157" s="229"/>
    </row>
    <row r="158" spans="1:16" s="190" customFormat="1" ht="12.75">
      <c r="A158" s="391"/>
      <c r="B158" s="385"/>
      <c r="C158" s="186" t="s">
        <v>300</v>
      </c>
      <c r="D158" s="199">
        <v>4000</v>
      </c>
      <c r="E158" s="200">
        <v>2180.63</v>
      </c>
      <c r="F158" s="227">
        <f>D158-E158</f>
        <v>1819.37</v>
      </c>
      <c r="G158" s="237" t="s">
        <v>258</v>
      </c>
      <c r="H158" s="229"/>
      <c r="I158" s="229"/>
      <c r="J158" s="229"/>
      <c r="K158" s="229"/>
      <c r="L158" s="229"/>
      <c r="M158" s="229"/>
      <c r="N158" s="229"/>
      <c r="O158" s="229"/>
      <c r="P158" s="229"/>
    </row>
    <row r="159" spans="1:16" s="190" customFormat="1" ht="12.75">
      <c r="A159" s="193"/>
      <c r="B159" s="301" t="s">
        <v>9</v>
      </c>
      <c r="C159" s="232"/>
      <c r="D159" s="216">
        <f>SUM(D156:D158)</f>
        <v>19700</v>
      </c>
      <c r="E159" s="217">
        <f>SUM(E156:E158)</f>
        <v>12832.73</v>
      </c>
      <c r="F159" s="225">
        <f>SUM(F156:F158)</f>
        <v>6867.27</v>
      </c>
      <c r="G159" s="237"/>
      <c r="H159" s="229"/>
      <c r="I159" s="229"/>
      <c r="J159" s="229"/>
      <c r="K159" s="229"/>
      <c r="L159" s="229"/>
      <c r="M159" s="229"/>
      <c r="N159" s="229"/>
      <c r="O159" s="229"/>
      <c r="P159" s="229"/>
    </row>
    <row r="160" spans="1:16" s="190" customFormat="1" ht="12.75">
      <c r="A160" s="389">
        <v>45</v>
      </c>
      <c r="B160" s="383" t="s">
        <v>155</v>
      </c>
      <c r="C160" s="186" t="s">
        <v>299</v>
      </c>
      <c r="D160" s="199">
        <v>8500</v>
      </c>
      <c r="E160" s="200">
        <f>5588.86*1.08+34.37+24.95</f>
        <v>6095.288799999999</v>
      </c>
      <c r="F160" s="227">
        <f>D160-E160</f>
        <v>2404.7112000000006</v>
      </c>
      <c r="G160" s="237" t="s">
        <v>258</v>
      </c>
      <c r="H160" s="229"/>
      <c r="I160" s="229"/>
      <c r="J160" s="229"/>
      <c r="K160" s="229"/>
      <c r="L160" s="229"/>
      <c r="M160" s="229"/>
      <c r="N160" s="229"/>
      <c r="O160" s="229"/>
      <c r="P160" s="229"/>
    </row>
    <row r="161" spans="1:16" s="190" customFormat="1" ht="12.75">
      <c r="A161" s="390"/>
      <c r="B161" s="384"/>
      <c r="C161" s="186" t="s">
        <v>287</v>
      </c>
      <c r="D161" s="199">
        <v>6200</v>
      </c>
      <c r="E161" s="200">
        <f>1.07+4171.62</f>
        <v>4172.69</v>
      </c>
      <c r="F161" s="227">
        <f>D161-E161</f>
        <v>2027.3100000000004</v>
      </c>
      <c r="G161" s="237" t="s">
        <v>258</v>
      </c>
      <c r="H161" s="229"/>
      <c r="I161" s="229"/>
      <c r="J161" s="229"/>
      <c r="K161" s="229"/>
      <c r="L161" s="229"/>
      <c r="M161" s="229"/>
      <c r="N161" s="229"/>
      <c r="O161" s="229"/>
      <c r="P161" s="229"/>
    </row>
    <row r="162" spans="1:16" s="190" customFormat="1" ht="12.75">
      <c r="A162" s="391"/>
      <c r="B162" s="385"/>
      <c r="C162" s="186" t="s">
        <v>301</v>
      </c>
      <c r="D162" s="199">
        <v>3047.96</v>
      </c>
      <c r="E162" s="200">
        <f>D162</f>
        <v>3047.96</v>
      </c>
      <c r="F162" s="227">
        <f>D162-E162</f>
        <v>0</v>
      </c>
      <c r="G162" s="237" t="s">
        <v>258</v>
      </c>
      <c r="H162" s="229"/>
      <c r="I162" s="229"/>
      <c r="J162" s="229"/>
      <c r="K162" s="229"/>
      <c r="L162" s="229"/>
      <c r="M162" s="229"/>
      <c r="N162" s="229"/>
      <c r="O162" s="229"/>
      <c r="P162" s="229"/>
    </row>
    <row r="163" spans="1:16" s="190" customFormat="1" ht="12.75">
      <c r="A163" s="193"/>
      <c r="B163" s="301" t="s">
        <v>9</v>
      </c>
      <c r="C163" s="232"/>
      <c r="D163" s="216">
        <f>SUM(D160:D162)</f>
        <v>17747.96</v>
      </c>
      <c r="E163" s="216">
        <f>SUM(E160:E162)</f>
        <v>13315.9388</v>
      </c>
      <c r="F163" s="216">
        <f>SUM(F160:F162)</f>
        <v>4432.021200000001</v>
      </c>
      <c r="G163" s="237"/>
      <c r="H163" s="229"/>
      <c r="I163" s="229"/>
      <c r="J163" s="229"/>
      <c r="K163" s="229"/>
      <c r="L163" s="229"/>
      <c r="M163" s="229"/>
      <c r="N163" s="229"/>
      <c r="O163" s="229"/>
      <c r="P163" s="229"/>
    </row>
    <row r="164" spans="1:16" s="190" customFormat="1" ht="12.75">
      <c r="A164" s="389">
        <v>46</v>
      </c>
      <c r="B164" s="383" t="s">
        <v>157</v>
      </c>
      <c r="C164" s="186" t="s">
        <v>299</v>
      </c>
      <c r="D164" s="199">
        <v>8500</v>
      </c>
      <c r="E164" s="200">
        <f>5588.86*1.08+34.37+24.95</f>
        <v>6095.288799999999</v>
      </c>
      <c r="F164" s="227">
        <f>D164-E164</f>
        <v>2404.7112000000006</v>
      </c>
      <c r="G164" s="237" t="s">
        <v>258</v>
      </c>
      <c r="H164" s="229"/>
      <c r="I164" s="229"/>
      <c r="J164" s="229"/>
      <c r="K164" s="229"/>
      <c r="L164" s="229"/>
      <c r="M164" s="229"/>
      <c r="N164" s="229"/>
      <c r="O164" s="229"/>
      <c r="P164" s="229"/>
    </row>
    <row r="165" spans="1:16" s="190" customFormat="1" ht="12.75">
      <c r="A165" s="390"/>
      <c r="B165" s="384"/>
      <c r="C165" s="186" t="s">
        <v>287</v>
      </c>
      <c r="D165" s="199">
        <v>6200</v>
      </c>
      <c r="E165" s="218">
        <f>1.07+4171.62</f>
        <v>4172.69</v>
      </c>
      <c r="F165" s="227">
        <f>D165-E165</f>
        <v>2027.3100000000004</v>
      </c>
      <c r="G165" s="237" t="s">
        <v>258</v>
      </c>
      <c r="H165" s="229"/>
      <c r="I165" s="229"/>
      <c r="J165" s="229"/>
      <c r="K165" s="229"/>
      <c r="L165" s="229"/>
      <c r="M165" s="229"/>
      <c r="N165" s="229"/>
      <c r="O165" s="229"/>
      <c r="P165" s="229"/>
    </row>
    <row r="166" spans="1:16" s="190" customFormat="1" ht="29.25" customHeight="1">
      <c r="A166" s="391"/>
      <c r="B166" s="385"/>
      <c r="C166" s="186" t="s">
        <v>302</v>
      </c>
      <c r="D166" s="199">
        <v>0</v>
      </c>
      <c r="E166" s="218">
        <v>3456</v>
      </c>
      <c r="F166" s="227">
        <f>D166-E166</f>
        <v>-3456</v>
      </c>
      <c r="G166" s="237" t="s">
        <v>258</v>
      </c>
      <c r="H166" s="229"/>
      <c r="I166" s="229"/>
      <c r="J166" s="229"/>
      <c r="K166" s="229"/>
      <c r="L166" s="229"/>
      <c r="M166" s="229"/>
      <c r="N166" s="229"/>
      <c r="O166" s="229"/>
      <c r="P166" s="229"/>
    </row>
    <row r="167" spans="1:16" s="190" customFormat="1" ht="12.75">
      <c r="A167" s="193"/>
      <c r="B167" s="301" t="s">
        <v>9</v>
      </c>
      <c r="C167" s="232"/>
      <c r="D167" s="216">
        <f>SUM(D164:D166)</f>
        <v>14700</v>
      </c>
      <c r="E167" s="216">
        <f>SUM(E164:E166)</f>
        <v>13723.978799999999</v>
      </c>
      <c r="F167" s="216">
        <f>SUM(F164:F166)</f>
        <v>976.021200000001</v>
      </c>
      <c r="G167" s="237"/>
      <c r="H167" s="229"/>
      <c r="I167" s="229"/>
      <c r="J167" s="229"/>
      <c r="K167" s="229"/>
      <c r="L167" s="229"/>
      <c r="M167" s="229"/>
      <c r="N167" s="229"/>
      <c r="O167" s="229"/>
      <c r="P167" s="229"/>
    </row>
    <row r="168" spans="1:16" s="190" customFormat="1" ht="29.25" customHeight="1">
      <c r="A168" s="389">
        <v>47</v>
      </c>
      <c r="B168" s="383" t="s">
        <v>158</v>
      </c>
      <c r="C168" s="186" t="s">
        <v>303</v>
      </c>
      <c r="D168" s="236">
        <v>58000</v>
      </c>
      <c r="E168" s="200">
        <f>53.79+60000+341.67</f>
        <v>60395.46</v>
      </c>
      <c r="F168" s="221">
        <f aca="true" t="shared" si="0" ref="F168:F173">D168-E168</f>
        <v>-2395.459999999999</v>
      </c>
      <c r="G168" s="237" t="s">
        <v>258</v>
      </c>
      <c r="H168" s="229"/>
      <c r="I168" s="229"/>
      <c r="J168" s="229"/>
      <c r="K168" s="229"/>
      <c r="L168" s="229"/>
      <c r="M168" s="229"/>
      <c r="N168" s="229"/>
      <c r="O168" s="229"/>
      <c r="P168" s="229"/>
    </row>
    <row r="169" spans="1:16" s="190" customFormat="1" ht="12.75">
      <c r="A169" s="390"/>
      <c r="B169" s="384"/>
      <c r="C169" s="185" t="s">
        <v>304</v>
      </c>
      <c r="D169" s="191">
        <v>400</v>
      </c>
      <c r="E169" s="200">
        <v>455.1</v>
      </c>
      <c r="F169" s="221">
        <f t="shared" si="0"/>
        <v>-55.10000000000002</v>
      </c>
      <c r="G169" s="237" t="s">
        <v>258</v>
      </c>
      <c r="H169" s="229"/>
      <c r="I169" s="229"/>
      <c r="J169" s="229"/>
      <c r="K169" s="229"/>
      <c r="L169" s="229"/>
      <c r="M169" s="229"/>
      <c r="N169" s="229"/>
      <c r="O169" s="229"/>
      <c r="P169" s="229"/>
    </row>
    <row r="170" spans="1:16" s="190" customFormat="1" ht="12.75">
      <c r="A170" s="390"/>
      <c r="B170" s="384"/>
      <c r="C170" s="185" t="s">
        <v>305</v>
      </c>
      <c r="D170" s="191">
        <v>200</v>
      </c>
      <c r="E170" s="200">
        <v>198.65</v>
      </c>
      <c r="F170" s="221">
        <f t="shared" si="0"/>
        <v>1.3499999999999943</v>
      </c>
      <c r="G170" s="237" t="s">
        <v>258</v>
      </c>
      <c r="H170" s="229"/>
      <c r="I170" s="229"/>
      <c r="J170" s="229"/>
      <c r="K170" s="229"/>
      <c r="L170" s="229"/>
      <c r="M170" s="229"/>
      <c r="N170" s="229"/>
      <c r="O170" s="229"/>
      <c r="P170" s="229"/>
    </row>
    <row r="171" spans="1:16" s="190" customFormat="1" ht="12.75">
      <c r="A171" s="390"/>
      <c r="B171" s="384"/>
      <c r="C171" s="185" t="s">
        <v>306</v>
      </c>
      <c r="D171" s="191">
        <v>5000</v>
      </c>
      <c r="E171" s="200">
        <v>5285.16</v>
      </c>
      <c r="F171" s="221">
        <f t="shared" si="0"/>
        <v>-285.15999999999985</v>
      </c>
      <c r="G171" s="237" t="s">
        <v>258</v>
      </c>
      <c r="H171" s="229"/>
      <c r="I171" s="229"/>
      <c r="J171" s="229"/>
      <c r="K171" s="229"/>
      <c r="L171" s="229"/>
      <c r="M171" s="229"/>
      <c r="N171" s="229"/>
      <c r="O171" s="229"/>
      <c r="P171" s="229"/>
    </row>
    <row r="172" spans="1:16" s="190" customFormat="1" ht="29.25" customHeight="1">
      <c r="A172" s="390"/>
      <c r="B172" s="384"/>
      <c r="C172" s="288" t="s">
        <v>307</v>
      </c>
      <c r="D172" s="191">
        <v>30000</v>
      </c>
      <c r="E172" s="200">
        <v>30000</v>
      </c>
      <c r="F172" s="221">
        <f t="shared" si="0"/>
        <v>0</v>
      </c>
      <c r="G172" s="192" t="s">
        <v>14</v>
      </c>
      <c r="H172" s="229"/>
      <c r="I172" s="229"/>
      <c r="J172" s="229"/>
      <c r="K172" s="229"/>
      <c r="L172" s="229"/>
      <c r="M172" s="229"/>
      <c r="N172" s="229"/>
      <c r="O172" s="229"/>
      <c r="P172" s="229"/>
    </row>
    <row r="173" spans="1:16" s="190" customFormat="1" ht="29.25" customHeight="1">
      <c r="A173" s="391"/>
      <c r="B173" s="385"/>
      <c r="C173" s="185" t="s">
        <v>308</v>
      </c>
      <c r="D173" s="191">
        <v>0</v>
      </c>
      <c r="E173" s="200">
        <v>1094.7</v>
      </c>
      <c r="F173" s="221">
        <f t="shared" si="0"/>
        <v>-1094.7</v>
      </c>
      <c r="G173" s="237" t="s">
        <v>258</v>
      </c>
      <c r="H173" s="229"/>
      <c r="I173" s="229"/>
      <c r="J173" s="229"/>
      <c r="K173" s="229"/>
      <c r="L173" s="229"/>
      <c r="M173" s="229"/>
      <c r="N173" s="229"/>
      <c r="O173" s="229"/>
      <c r="P173" s="229"/>
    </row>
    <row r="174" spans="1:16" s="190" customFormat="1" ht="12.75">
      <c r="A174" s="193"/>
      <c r="B174" s="301" t="s">
        <v>9</v>
      </c>
      <c r="C174" s="232"/>
      <c r="D174" s="216">
        <f>SUM(D168:D173)</f>
        <v>93600</v>
      </c>
      <c r="E174" s="217">
        <f>SUM(E168:E173)</f>
        <v>97429.06999999999</v>
      </c>
      <c r="F174" s="225">
        <f>SUM(F168:F173)</f>
        <v>-3829.069999999999</v>
      </c>
      <c r="G174" s="237"/>
      <c r="H174" s="229"/>
      <c r="I174" s="229"/>
      <c r="J174" s="229"/>
      <c r="K174" s="229"/>
      <c r="L174" s="229"/>
      <c r="M174" s="229"/>
      <c r="N174" s="229"/>
      <c r="O174" s="229"/>
      <c r="P174" s="229"/>
    </row>
    <row r="175" spans="1:16" s="190" customFormat="1" ht="12.75">
      <c r="A175" s="389">
        <v>48</v>
      </c>
      <c r="B175" s="383" t="s">
        <v>164</v>
      </c>
      <c r="C175" s="185" t="s">
        <v>304</v>
      </c>
      <c r="D175" s="208">
        <v>400</v>
      </c>
      <c r="E175" s="212">
        <f>446.13+3.19</f>
        <v>449.32</v>
      </c>
      <c r="F175" s="227">
        <f>D175-E175</f>
        <v>-49.31999999999999</v>
      </c>
      <c r="G175" s="237" t="s">
        <v>258</v>
      </c>
      <c r="H175" s="229"/>
      <c r="I175" s="229"/>
      <c r="J175" s="229"/>
      <c r="K175" s="229"/>
      <c r="L175" s="229"/>
      <c r="M175" s="229"/>
      <c r="N175" s="229"/>
      <c r="O175" s="229"/>
      <c r="P175" s="229"/>
    </row>
    <row r="176" spans="1:16" s="190" customFormat="1" ht="12.75">
      <c r="A176" s="390"/>
      <c r="B176" s="384"/>
      <c r="C176" s="185" t="s">
        <v>305</v>
      </c>
      <c r="D176" s="208">
        <v>200</v>
      </c>
      <c r="E176" s="212">
        <f>194.71+7.3</f>
        <v>202.01000000000002</v>
      </c>
      <c r="F176" s="227">
        <f>D176-E176</f>
        <v>-2.0100000000000193</v>
      </c>
      <c r="G176" s="237" t="s">
        <v>258</v>
      </c>
      <c r="H176" s="229"/>
      <c r="I176" s="229"/>
      <c r="J176" s="229"/>
      <c r="K176" s="229"/>
      <c r="L176" s="229"/>
      <c r="M176" s="229"/>
      <c r="N176" s="229"/>
      <c r="O176" s="229"/>
      <c r="P176" s="229"/>
    </row>
    <row r="177" spans="1:16" s="190" customFormat="1" ht="12.75">
      <c r="A177" s="390"/>
      <c r="B177" s="384"/>
      <c r="C177" s="185" t="s">
        <v>306</v>
      </c>
      <c r="D177" s="208">
        <v>6000</v>
      </c>
      <c r="E177" s="212">
        <f>5156.43+45.36+96.13+0.91</f>
        <v>5298.83</v>
      </c>
      <c r="F177" s="227">
        <f>D177-E177</f>
        <v>701.1700000000001</v>
      </c>
      <c r="G177" s="237" t="s">
        <v>258</v>
      </c>
      <c r="H177" s="229"/>
      <c r="I177" s="229"/>
      <c r="J177" s="229"/>
      <c r="K177" s="229"/>
      <c r="L177" s="229"/>
      <c r="M177" s="229"/>
      <c r="N177" s="229"/>
      <c r="O177" s="229"/>
      <c r="P177" s="229"/>
    </row>
    <row r="178" spans="1:16" s="190" customFormat="1" ht="12.75">
      <c r="A178" s="390"/>
      <c r="B178" s="384"/>
      <c r="C178" s="185" t="s">
        <v>309</v>
      </c>
      <c r="D178" s="208">
        <v>5502</v>
      </c>
      <c r="E178" s="212">
        <f>5338.97+99.53</f>
        <v>5438.5</v>
      </c>
      <c r="F178" s="227">
        <f>D178-E178</f>
        <v>63.5</v>
      </c>
      <c r="G178" s="237" t="s">
        <v>258</v>
      </c>
      <c r="H178" s="229"/>
      <c r="I178" s="229"/>
      <c r="J178" s="229"/>
      <c r="K178" s="229"/>
      <c r="L178" s="229"/>
      <c r="M178" s="229"/>
      <c r="N178" s="229"/>
      <c r="O178" s="229"/>
      <c r="P178" s="229"/>
    </row>
    <row r="179" spans="1:16" s="190" customFormat="1" ht="12.75">
      <c r="A179" s="390"/>
      <c r="B179" s="384"/>
      <c r="C179" s="185" t="s">
        <v>310</v>
      </c>
      <c r="D179" s="199">
        <v>87000</v>
      </c>
      <c r="E179" s="200">
        <v>87000</v>
      </c>
      <c r="F179" s="227">
        <f>D179-E179</f>
        <v>0</v>
      </c>
      <c r="G179" s="237" t="s">
        <v>258</v>
      </c>
      <c r="H179" s="229"/>
      <c r="I179" s="229"/>
      <c r="J179" s="229"/>
      <c r="K179" s="229"/>
      <c r="L179" s="229"/>
      <c r="M179" s="229"/>
      <c r="N179" s="229"/>
      <c r="O179" s="229"/>
      <c r="P179" s="229"/>
    </row>
    <row r="180" spans="1:16" s="190" customFormat="1" ht="12.75">
      <c r="A180" s="193"/>
      <c r="B180" s="301" t="s">
        <v>9</v>
      </c>
      <c r="C180" s="232"/>
      <c r="D180" s="216">
        <f>SUM(D175:D179)</f>
        <v>99102</v>
      </c>
      <c r="E180" s="217">
        <f>SUM(E175:E179)</f>
        <v>98388.66</v>
      </c>
      <c r="F180" s="225">
        <f>SUM(F175:F179)</f>
        <v>713.34</v>
      </c>
      <c r="G180" s="237"/>
      <c r="H180" s="229"/>
      <c r="I180" s="229"/>
      <c r="J180" s="229"/>
      <c r="K180" s="229"/>
      <c r="L180" s="229"/>
      <c r="M180" s="229"/>
      <c r="N180" s="229"/>
      <c r="O180" s="229"/>
      <c r="P180" s="229"/>
    </row>
    <row r="181" spans="1:16" s="190" customFormat="1" ht="12.75">
      <c r="A181" s="389">
        <v>49</v>
      </c>
      <c r="B181" s="383" t="s">
        <v>168</v>
      </c>
      <c r="C181" s="185" t="s">
        <v>304</v>
      </c>
      <c r="D181" s="199">
        <v>400</v>
      </c>
      <c r="E181" s="200">
        <v>455.1</v>
      </c>
      <c r="F181" s="227">
        <f aca="true" t="shared" si="1" ref="F181:F186">D181-E181</f>
        <v>-55.10000000000002</v>
      </c>
      <c r="G181" s="237" t="s">
        <v>258</v>
      </c>
      <c r="H181" s="229"/>
      <c r="I181" s="229"/>
      <c r="J181" s="229"/>
      <c r="K181" s="229"/>
      <c r="L181" s="229"/>
      <c r="M181" s="229"/>
      <c r="N181" s="229"/>
      <c r="O181" s="229"/>
      <c r="P181" s="229"/>
    </row>
    <row r="182" spans="1:16" s="190" customFormat="1" ht="12.75">
      <c r="A182" s="390"/>
      <c r="B182" s="384"/>
      <c r="C182" s="185" t="s">
        <v>305</v>
      </c>
      <c r="D182" s="199">
        <v>200</v>
      </c>
      <c r="E182" s="200">
        <f>194.72+7.32+3.2</f>
        <v>205.23999999999998</v>
      </c>
      <c r="F182" s="227">
        <f t="shared" si="1"/>
        <v>-5.239999999999981</v>
      </c>
      <c r="G182" s="237" t="s">
        <v>258</v>
      </c>
      <c r="H182" s="229"/>
      <c r="I182" s="229"/>
      <c r="J182" s="229"/>
      <c r="K182" s="229"/>
      <c r="L182" s="229"/>
      <c r="M182" s="229"/>
      <c r="N182" s="229"/>
      <c r="O182" s="229"/>
      <c r="P182" s="229"/>
    </row>
    <row r="183" spans="1:16" s="190" customFormat="1" ht="12.75">
      <c r="A183" s="390"/>
      <c r="B183" s="384"/>
      <c r="C183" s="185" t="s">
        <v>306</v>
      </c>
      <c r="D183" s="199">
        <v>6500</v>
      </c>
      <c r="E183" s="200">
        <v>5639.58</v>
      </c>
      <c r="F183" s="227">
        <f t="shared" si="1"/>
        <v>860.4200000000001</v>
      </c>
      <c r="G183" s="237" t="s">
        <v>258</v>
      </c>
      <c r="H183" s="229"/>
      <c r="I183" s="229"/>
      <c r="J183" s="229"/>
      <c r="K183" s="229"/>
      <c r="L183" s="229"/>
      <c r="M183" s="229"/>
      <c r="N183" s="229"/>
      <c r="O183" s="229"/>
      <c r="P183" s="229"/>
    </row>
    <row r="184" spans="1:16" s="190" customFormat="1" ht="12.75">
      <c r="A184" s="390"/>
      <c r="B184" s="384"/>
      <c r="C184" s="185" t="s">
        <v>309</v>
      </c>
      <c r="D184" s="199">
        <v>5938</v>
      </c>
      <c r="E184" s="200">
        <f>5764.19+107.72+10.44+18.18</f>
        <v>5900.53</v>
      </c>
      <c r="F184" s="227">
        <f t="shared" si="1"/>
        <v>37.470000000000255</v>
      </c>
      <c r="G184" s="237" t="s">
        <v>258</v>
      </c>
      <c r="H184" s="229"/>
      <c r="I184" s="229"/>
      <c r="J184" s="229"/>
      <c r="K184" s="229"/>
      <c r="L184" s="229"/>
      <c r="M184" s="229"/>
      <c r="N184" s="229"/>
      <c r="O184" s="229"/>
      <c r="P184" s="229"/>
    </row>
    <row r="185" spans="1:16" s="190" customFormat="1" ht="29.25" customHeight="1">
      <c r="A185" s="390"/>
      <c r="B185" s="384"/>
      <c r="C185" s="185" t="s">
        <v>311</v>
      </c>
      <c r="D185" s="199">
        <v>103000</v>
      </c>
      <c r="E185" s="200">
        <f>51.39+111744.65+636.33+0.84+2088.29</f>
        <v>114521.49999999999</v>
      </c>
      <c r="F185" s="227">
        <f t="shared" si="1"/>
        <v>-11521.499999999985</v>
      </c>
      <c r="G185" s="237" t="s">
        <v>258</v>
      </c>
      <c r="H185" s="229"/>
      <c r="I185" s="229"/>
      <c r="J185" s="229"/>
      <c r="K185" s="229"/>
      <c r="L185" s="229"/>
      <c r="M185" s="229"/>
      <c r="N185" s="229"/>
      <c r="O185" s="229"/>
      <c r="P185" s="229"/>
    </row>
    <row r="186" spans="1:16" s="190" customFormat="1" ht="12.75">
      <c r="A186" s="391"/>
      <c r="B186" s="385"/>
      <c r="C186" s="185" t="s">
        <v>83</v>
      </c>
      <c r="D186" s="199">
        <v>199689.84960000002</v>
      </c>
      <c r="E186" s="200">
        <f>194533.56+1107.75+3635.45</f>
        <v>199276.76</v>
      </c>
      <c r="F186" s="227">
        <f t="shared" si="1"/>
        <v>413.0896000000066</v>
      </c>
      <c r="G186" s="237" t="s">
        <v>258</v>
      </c>
      <c r="H186" s="229"/>
      <c r="I186" s="229"/>
      <c r="J186" s="229"/>
      <c r="K186" s="229"/>
      <c r="L186" s="229"/>
      <c r="M186" s="229"/>
      <c r="N186" s="229"/>
      <c r="O186" s="229"/>
      <c r="P186" s="229"/>
    </row>
    <row r="187" spans="1:16" s="190" customFormat="1" ht="12.75">
      <c r="A187" s="193"/>
      <c r="B187" s="301" t="s">
        <v>9</v>
      </c>
      <c r="C187" s="232"/>
      <c r="D187" s="216">
        <f>SUM(D181:D186)</f>
        <v>315727.8496</v>
      </c>
      <c r="E187" s="217">
        <f>SUM(E181:E186)</f>
        <v>325998.70999999996</v>
      </c>
      <c r="F187" s="225">
        <f>SUM(F181:F186)</f>
        <v>-10270.860399999978</v>
      </c>
      <c r="G187" s="237"/>
      <c r="H187" s="229"/>
      <c r="I187" s="229"/>
      <c r="J187" s="229"/>
      <c r="K187" s="229"/>
      <c r="L187" s="229"/>
      <c r="M187" s="229"/>
      <c r="N187" s="229"/>
      <c r="O187" s="229"/>
      <c r="P187" s="229"/>
    </row>
    <row r="188" spans="1:16" s="190" customFormat="1" ht="12.75">
      <c r="A188" s="392">
        <v>50</v>
      </c>
      <c r="B188" s="400" t="s">
        <v>172</v>
      </c>
      <c r="C188" s="185" t="s">
        <v>304</v>
      </c>
      <c r="D188" s="208">
        <v>400</v>
      </c>
      <c r="E188" s="200">
        <v>455.1</v>
      </c>
      <c r="F188" s="227">
        <f>D188-E188</f>
        <v>-55.10000000000002</v>
      </c>
      <c r="G188" s="237" t="s">
        <v>258</v>
      </c>
      <c r="H188" s="229"/>
      <c r="I188" s="229"/>
      <c r="J188" s="229"/>
      <c r="K188" s="229"/>
      <c r="L188" s="229"/>
      <c r="M188" s="229"/>
      <c r="N188" s="229"/>
      <c r="O188" s="229"/>
      <c r="P188" s="229"/>
    </row>
    <row r="189" spans="1:16" s="190" customFormat="1" ht="12.75">
      <c r="A189" s="392"/>
      <c r="B189" s="400"/>
      <c r="C189" s="185" t="s">
        <v>305</v>
      </c>
      <c r="D189" s="208">
        <v>200</v>
      </c>
      <c r="E189" s="200">
        <v>197.92</v>
      </c>
      <c r="F189" s="227">
        <f>D189-E189</f>
        <v>2.0800000000000125</v>
      </c>
      <c r="G189" s="237" t="s">
        <v>258</v>
      </c>
      <c r="H189" s="229"/>
      <c r="I189" s="229"/>
      <c r="J189" s="229"/>
      <c r="K189" s="229"/>
      <c r="L189" s="229"/>
      <c r="M189" s="229"/>
      <c r="N189" s="229"/>
      <c r="O189" s="229"/>
      <c r="P189" s="229"/>
    </row>
    <row r="190" spans="1:16" s="190" customFormat="1" ht="12.75">
      <c r="A190" s="392"/>
      <c r="B190" s="400"/>
      <c r="C190" s="185" t="s">
        <v>306</v>
      </c>
      <c r="D190" s="208">
        <v>6000</v>
      </c>
      <c r="E190" s="200">
        <v>6098.43</v>
      </c>
      <c r="F190" s="227">
        <f>D190-E190</f>
        <v>-98.43000000000029</v>
      </c>
      <c r="G190" s="237" t="s">
        <v>258</v>
      </c>
      <c r="H190" s="229"/>
      <c r="I190" s="229"/>
      <c r="J190" s="229"/>
      <c r="K190" s="229"/>
      <c r="L190" s="229"/>
      <c r="M190" s="229"/>
      <c r="N190" s="229"/>
      <c r="O190" s="229"/>
      <c r="P190" s="229"/>
    </row>
    <row r="191" spans="1:16" s="190" customFormat="1" ht="12.75">
      <c r="A191" s="392"/>
      <c r="B191" s="400"/>
      <c r="C191" s="185" t="s">
        <v>309</v>
      </c>
      <c r="D191" s="208">
        <v>5502</v>
      </c>
      <c r="E191" s="201">
        <f>5043.04*1.08+25.22*1.23+24.05+0.39</f>
        <v>5501.943800000001</v>
      </c>
      <c r="F191" s="227">
        <f>D191-E191</f>
        <v>0.05619999999908032</v>
      </c>
      <c r="G191" s="237" t="s">
        <v>258</v>
      </c>
      <c r="H191" s="229"/>
      <c r="I191" s="229"/>
      <c r="J191" s="229"/>
      <c r="K191" s="229"/>
      <c r="L191" s="229"/>
      <c r="M191" s="229"/>
      <c r="N191" s="229"/>
      <c r="O191" s="229"/>
      <c r="P191" s="229"/>
    </row>
    <row r="192" spans="1:16" s="190" customFormat="1" ht="12.75">
      <c r="A192" s="193"/>
      <c r="B192" s="301" t="s">
        <v>9</v>
      </c>
      <c r="C192" s="232"/>
      <c r="D192" s="216">
        <f>SUM(D188:D191)</f>
        <v>12102</v>
      </c>
      <c r="E192" s="217">
        <f>SUM(E188:E191)</f>
        <v>12253.393800000002</v>
      </c>
      <c r="F192" s="225">
        <f>SUM(F188:F191)</f>
        <v>-151.39380000000122</v>
      </c>
      <c r="G192" s="237"/>
      <c r="H192" s="229"/>
      <c r="I192" s="229"/>
      <c r="J192" s="229"/>
      <c r="K192" s="229"/>
      <c r="L192" s="229"/>
      <c r="M192" s="229"/>
      <c r="N192" s="229"/>
      <c r="O192" s="229"/>
      <c r="P192" s="229"/>
    </row>
    <row r="193" spans="1:16" s="190" customFormat="1" ht="12.75">
      <c r="A193" s="389">
        <v>51</v>
      </c>
      <c r="B193" s="383" t="s">
        <v>175</v>
      </c>
      <c r="C193" s="185" t="s">
        <v>304</v>
      </c>
      <c r="D193" s="208">
        <v>400</v>
      </c>
      <c r="E193" s="218">
        <v>455.1</v>
      </c>
      <c r="F193" s="227">
        <f>D193-E193</f>
        <v>-55.10000000000002</v>
      </c>
      <c r="G193" s="237" t="s">
        <v>258</v>
      </c>
      <c r="H193" s="229"/>
      <c r="I193" s="229"/>
      <c r="J193" s="229"/>
      <c r="K193" s="229"/>
      <c r="L193" s="229"/>
      <c r="M193" s="229"/>
      <c r="N193" s="229"/>
      <c r="O193" s="229"/>
      <c r="P193" s="229"/>
    </row>
    <row r="194" spans="1:16" s="190" customFormat="1" ht="12.75">
      <c r="A194" s="390"/>
      <c r="B194" s="384"/>
      <c r="C194" s="185" t="s">
        <v>305</v>
      </c>
      <c r="D194" s="199">
        <v>200</v>
      </c>
      <c r="E194" s="218">
        <v>197.92</v>
      </c>
      <c r="F194" s="227">
        <f>D194-E194</f>
        <v>2.0800000000000125</v>
      </c>
      <c r="G194" s="237" t="s">
        <v>258</v>
      </c>
      <c r="H194" s="229"/>
      <c r="I194" s="229"/>
      <c r="J194" s="229"/>
      <c r="K194" s="229"/>
      <c r="L194" s="229"/>
      <c r="M194" s="229"/>
      <c r="N194" s="229"/>
      <c r="O194" s="229"/>
      <c r="P194" s="229"/>
    </row>
    <row r="195" spans="1:16" s="190" customFormat="1" ht="12.75">
      <c r="A195" s="390"/>
      <c r="B195" s="384"/>
      <c r="C195" s="185" t="s">
        <v>306</v>
      </c>
      <c r="D195" s="199">
        <v>6000</v>
      </c>
      <c r="E195" s="200">
        <v>5298.75</v>
      </c>
      <c r="F195" s="227">
        <f>D195-E195</f>
        <v>701.25</v>
      </c>
      <c r="G195" s="237" t="s">
        <v>258</v>
      </c>
      <c r="H195" s="229"/>
      <c r="I195" s="229"/>
      <c r="J195" s="229"/>
      <c r="K195" s="229"/>
      <c r="L195" s="229"/>
      <c r="M195" s="229"/>
      <c r="N195" s="229"/>
      <c r="O195" s="229"/>
      <c r="P195" s="229"/>
    </row>
    <row r="196" spans="1:16" s="190" customFormat="1" ht="12.75">
      <c r="A196" s="390"/>
      <c r="B196" s="384"/>
      <c r="C196" s="185" t="s">
        <v>309</v>
      </c>
      <c r="D196" s="199">
        <v>5502</v>
      </c>
      <c r="E196" s="201">
        <f>5043.04*1.08+25.22*1.23+23.87+0.39</f>
        <v>5501.763800000001</v>
      </c>
      <c r="F196" s="227">
        <f>D196-E196</f>
        <v>0.23619999999937136</v>
      </c>
      <c r="G196" s="237" t="s">
        <v>258</v>
      </c>
      <c r="H196" s="229"/>
      <c r="I196" s="229"/>
      <c r="J196" s="229"/>
      <c r="K196" s="229"/>
      <c r="L196" s="229"/>
      <c r="M196" s="229"/>
      <c r="N196" s="229"/>
      <c r="O196" s="229"/>
      <c r="P196" s="229"/>
    </row>
    <row r="197" spans="1:16" s="190" customFormat="1" ht="25.5">
      <c r="A197" s="391"/>
      <c r="B197" s="385"/>
      <c r="C197" s="280" t="s">
        <v>345</v>
      </c>
      <c r="D197" s="291">
        <v>10000</v>
      </c>
      <c r="E197" s="201"/>
      <c r="F197" s="227">
        <f>D197-E197</f>
        <v>10000</v>
      </c>
      <c r="G197" s="192" t="s">
        <v>14</v>
      </c>
      <c r="H197" s="229"/>
      <c r="I197" s="229"/>
      <c r="J197" s="229"/>
      <c r="K197" s="229"/>
      <c r="L197" s="229"/>
      <c r="M197" s="229"/>
      <c r="N197" s="229"/>
      <c r="O197" s="229"/>
      <c r="P197" s="229"/>
    </row>
    <row r="198" spans="1:16" s="190" customFormat="1" ht="12.75">
      <c r="A198" s="193"/>
      <c r="B198" s="301" t="s">
        <v>9</v>
      </c>
      <c r="C198" s="232"/>
      <c r="D198" s="216">
        <f>SUM(D193:D197)</f>
        <v>22102</v>
      </c>
      <c r="E198" s="216">
        <f>SUM(E193:E197)</f>
        <v>11453.533800000001</v>
      </c>
      <c r="F198" s="216">
        <f>SUM(F193:F197)</f>
        <v>10648.466199999999</v>
      </c>
      <c r="G198" s="237"/>
      <c r="H198" s="229"/>
      <c r="I198" s="229"/>
      <c r="J198" s="229"/>
      <c r="K198" s="229"/>
      <c r="L198" s="229"/>
      <c r="M198" s="229"/>
      <c r="N198" s="229"/>
      <c r="O198" s="229"/>
      <c r="P198" s="229"/>
    </row>
    <row r="199" spans="1:16" s="190" customFormat="1" ht="12.75">
      <c r="A199" s="389">
        <v>52</v>
      </c>
      <c r="B199" s="383" t="s">
        <v>180</v>
      </c>
      <c r="C199" s="185" t="s">
        <v>304</v>
      </c>
      <c r="D199" s="208">
        <v>400</v>
      </c>
      <c r="E199" s="218">
        <v>455.1</v>
      </c>
      <c r="F199" s="227">
        <f aca="true" t="shared" si="2" ref="F199:F205">D199-E199</f>
        <v>-55.10000000000002</v>
      </c>
      <c r="G199" s="237" t="s">
        <v>258</v>
      </c>
      <c r="H199" s="229"/>
      <c r="I199" s="229"/>
      <c r="J199" s="229"/>
      <c r="K199" s="229"/>
      <c r="L199" s="229"/>
      <c r="M199" s="229"/>
      <c r="N199" s="229"/>
      <c r="O199" s="229"/>
      <c r="P199" s="229"/>
    </row>
    <row r="200" spans="1:16" s="190" customFormat="1" ht="12.75">
      <c r="A200" s="390"/>
      <c r="B200" s="384"/>
      <c r="C200" s="185" t="s">
        <v>305</v>
      </c>
      <c r="D200" s="199">
        <v>200</v>
      </c>
      <c r="E200" s="218">
        <v>197.92</v>
      </c>
      <c r="F200" s="227">
        <f t="shared" si="2"/>
        <v>2.0800000000000125</v>
      </c>
      <c r="G200" s="237" t="s">
        <v>258</v>
      </c>
      <c r="H200" s="229"/>
      <c r="I200" s="229"/>
      <c r="J200" s="229"/>
      <c r="K200" s="229"/>
      <c r="L200" s="229"/>
      <c r="M200" s="229"/>
      <c r="N200" s="229"/>
      <c r="O200" s="229"/>
      <c r="P200" s="229"/>
    </row>
    <row r="201" spans="1:16" s="190" customFormat="1" ht="12.75">
      <c r="A201" s="390"/>
      <c r="B201" s="384"/>
      <c r="C201" s="185" t="s">
        <v>306</v>
      </c>
      <c r="D201" s="199">
        <v>6000</v>
      </c>
      <c r="E201" s="218">
        <v>5298.78</v>
      </c>
      <c r="F201" s="227">
        <f t="shared" si="2"/>
        <v>701.2200000000003</v>
      </c>
      <c r="G201" s="237" t="s">
        <v>258</v>
      </c>
      <c r="H201" s="229"/>
      <c r="I201" s="229"/>
      <c r="J201" s="229"/>
      <c r="K201" s="229"/>
      <c r="L201" s="229"/>
      <c r="M201" s="229"/>
      <c r="N201" s="229"/>
      <c r="O201" s="229"/>
      <c r="P201" s="229"/>
    </row>
    <row r="202" spans="1:16" s="190" customFormat="1" ht="22.5" customHeight="1">
      <c r="A202" s="390"/>
      <c r="B202" s="384"/>
      <c r="C202" s="185" t="s">
        <v>309</v>
      </c>
      <c r="D202" s="199">
        <v>5502</v>
      </c>
      <c r="E202" s="220">
        <f>5043.04*1.08+25.22*1.23+23.99+0.39</f>
        <v>5501.8838000000005</v>
      </c>
      <c r="F202" s="227">
        <f t="shared" si="2"/>
        <v>0.1161999999994805</v>
      </c>
      <c r="G202" s="237" t="s">
        <v>258</v>
      </c>
      <c r="H202" s="229"/>
      <c r="I202" s="229"/>
      <c r="J202" s="229"/>
      <c r="K202" s="229"/>
      <c r="L202" s="229"/>
      <c r="M202" s="229"/>
      <c r="N202" s="229"/>
      <c r="O202" s="229"/>
      <c r="P202" s="229"/>
    </row>
    <row r="203" spans="1:16" s="190" customFormat="1" ht="27" customHeight="1">
      <c r="A203" s="390"/>
      <c r="B203" s="384"/>
      <c r="C203" s="207" t="s">
        <v>312</v>
      </c>
      <c r="D203" s="199">
        <v>0</v>
      </c>
      <c r="E203" s="218">
        <v>2609.76</v>
      </c>
      <c r="F203" s="227">
        <f t="shared" si="2"/>
        <v>-2609.76</v>
      </c>
      <c r="G203" s="237" t="s">
        <v>258</v>
      </c>
      <c r="H203" s="229"/>
      <c r="I203" s="229"/>
      <c r="J203" s="229"/>
      <c r="K203" s="229"/>
      <c r="L203" s="229"/>
      <c r="M203" s="229"/>
      <c r="N203" s="229"/>
      <c r="O203" s="229"/>
      <c r="P203" s="229"/>
    </row>
    <row r="204" spans="1:16" s="190" customFormat="1" ht="27" customHeight="1">
      <c r="A204" s="390"/>
      <c r="B204" s="384"/>
      <c r="C204" s="207" t="s">
        <v>313</v>
      </c>
      <c r="D204" s="199">
        <v>0</v>
      </c>
      <c r="E204" s="218">
        <v>2444.4</v>
      </c>
      <c r="F204" s="227">
        <f>D204-E204</f>
        <v>-2444.4</v>
      </c>
      <c r="G204" s="237" t="s">
        <v>258</v>
      </c>
      <c r="H204" s="229"/>
      <c r="I204" s="229"/>
      <c r="J204" s="229"/>
      <c r="K204" s="229"/>
      <c r="L204" s="229"/>
      <c r="M204" s="229"/>
      <c r="N204" s="229"/>
      <c r="O204" s="229"/>
      <c r="P204" s="229"/>
    </row>
    <row r="205" spans="1:16" s="190" customFormat="1" ht="23.25" customHeight="1">
      <c r="A205" s="391"/>
      <c r="B205" s="385"/>
      <c r="C205" s="207" t="s">
        <v>365</v>
      </c>
      <c r="D205" s="199">
        <v>0</v>
      </c>
      <c r="E205" s="218">
        <v>13862.12</v>
      </c>
      <c r="F205" s="227">
        <f t="shared" si="2"/>
        <v>-13862.12</v>
      </c>
      <c r="G205" s="237" t="s">
        <v>361</v>
      </c>
      <c r="H205" s="229"/>
      <c r="I205" s="229"/>
      <c r="J205" s="229"/>
      <c r="K205" s="229"/>
      <c r="L205" s="229"/>
      <c r="M205" s="229"/>
      <c r="N205" s="229"/>
      <c r="O205" s="229"/>
      <c r="P205" s="229"/>
    </row>
    <row r="206" spans="1:16" s="190" customFormat="1" ht="12.75">
      <c r="A206" s="193"/>
      <c r="B206" s="301" t="s">
        <v>9</v>
      </c>
      <c r="C206" s="232"/>
      <c r="D206" s="216">
        <f>SUM(D199:D205)</f>
        <v>12102</v>
      </c>
      <c r="E206" s="217">
        <f>SUM(E199:E205)</f>
        <v>30369.963799999998</v>
      </c>
      <c r="F206" s="225">
        <f>SUM(F199:F205)</f>
        <v>-18267.9638</v>
      </c>
      <c r="G206" s="196"/>
      <c r="H206" s="229"/>
      <c r="I206" s="229"/>
      <c r="J206" s="229"/>
      <c r="K206" s="229"/>
      <c r="L206" s="229"/>
      <c r="M206" s="229"/>
      <c r="N206" s="229"/>
      <c r="O206" s="229"/>
      <c r="P206" s="229"/>
    </row>
    <row r="207" spans="1:16" s="190" customFormat="1" ht="29.25" customHeight="1">
      <c r="A207" s="389">
        <v>53</v>
      </c>
      <c r="B207" s="383" t="s">
        <v>182</v>
      </c>
      <c r="C207" s="185" t="s">
        <v>314</v>
      </c>
      <c r="D207" s="201">
        <v>49784.95</v>
      </c>
      <c r="E207" s="341">
        <f>45865.69*1.08+229.33*1.23+0.74+0.05</f>
        <v>49817.81110000001</v>
      </c>
      <c r="F207" s="227">
        <f>D207-E207</f>
        <v>-32.86110000001645</v>
      </c>
      <c r="G207" s="237" t="s">
        <v>354</v>
      </c>
      <c r="H207" s="229"/>
      <c r="I207" s="229"/>
      <c r="J207" s="229"/>
      <c r="K207" s="229"/>
      <c r="L207" s="229"/>
      <c r="M207" s="229"/>
      <c r="N207" s="229"/>
      <c r="O207" s="229"/>
      <c r="P207" s="229"/>
    </row>
    <row r="208" spans="1:16" s="190" customFormat="1" ht="29.25" customHeight="1">
      <c r="A208" s="390"/>
      <c r="B208" s="384"/>
      <c r="C208" s="185" t="s">
        <v>315</v>
      </c>
      <c r="D208" s="201">
        <v>3000</v>
      </c>
      <c r="E208" s="218">
        <v>3000</v>
      </c>
      <c r="F208" s="227">
        <f aca="true" t="shared" si="3" ref="F208:F216">D208-E208</f>
        <v>0</v>
      </c>
      <c r="G208" s="237" t="s">
        <v>258</v>
      </c>
      <c r="H208" s="229"/>
      <c r="I208" s="229"/>
      <c r="J208" s="229"/>
      <c r="K208" s="229"/>
      <c r="L208" s="229"/>
      <c r="M208" s="229"/>
      <c r="N208" s="229"/>
      <c r="O208" s="229"/>
      <c r="P208" s="229"/>
    </row>
    <row r="209" spans="1:16" s="190" customFormat="1" ht="12.75">
      <c r="A209" s="193"/>
      <c r="B209" s="301" t="s">
        <v>9</v>
      </c>
      <c r="C209" s="232"/>
      <c r="D209" s="216">
        <f>SUM(D207:D208)</f>
        <v>52784.95</v>
      </c>
      <c r="E209" s="216">
        <f>SUM(E207:E208)</f>
        <v>52817.81110000001</v>
      </c>
      <c r="F209" s="216">
        <f>SUM(F207:F208)</f>
        <v>-32.86110000001645</v>
      </c>
      <c r="G209" s="237"/>
      <c r="H209" s="229"/>
      <c r="I209" s="229"/>
      <c r="J209" s="229"/>
      <c r="K209" s="229"/>
      <c r="L209" s="229"/>
      <c r="M209" s="229"/>
      <c r="N209" s="229"/>
      <c r="O209" s="229"/>
      <c r="P209" s="229"/>
    </row>
    <row r="210" spans="1:16" s="190" customFormat="1" ht="29.25" customHeight="1">
      <c r="A210" s="389">
        <v>54</v>
      </c>
      <c r="B210" s="383" t="s">
        <v>186</v>
      </c>
      <c r="C210" s="186" t="s">
        <v>314</v>
      </c>
      <c r="D210" s="236">
        <v>49784.94</v>
      </c>
      <c r="E210" s="201">
        <f>45865.69*1.08+229.33*1.23+0.74+0.05</f>
        <v>49817.81110000001</v>
      </c>
      <c r="F210" s="227">
        <f t="shared" si="3"/>
        <v>-32.87110000001121</v>
      </c>
      <c r="G210" s="237" t="s">
        <v>354</v>
      </c>
      <c r="H210" s="229"/>
      <c r="I210" s="229"/>
      <c r="J210" s="229"/>
      <c r="K210" s="229"/>
      <c r="L210" s="229"/>
      <c r="M210" s="229"/>
      <c r="N210" s="229"/>
      <c r="O210" s="229"/>
      <c r="P210" s="229"/>
    </row>
    <row r="211" spans="1:16" s="190" customFormat="1" ht="29.25" customHeight="1">
      <c r="A211" s="390"/>
      <c r="B211" s="384"/>
      <c r="C211" s="185" t="s">
        <v>315</v>
      </c>
      <c r="D211" s="236">
        <v>3000</v>
      </c>
      <c r="E211" s="201">
        <v>3000</v>
      </c>
      <c r="F211" s="227">
        <f>D211-E211</f>
        <v>0</v>
      </c>
      <c r="G211" s="237" t="s">
        <v>258</v>
      </c>
      <c r="H211" s="229"/>
      <c r="I211" s="229"/>
      <c r="J211" s="229"/>
      <c r="K211" s="229"/>
      <c r="L211" s="229"/>
      <c r="M211" s="229"/>
      <c r="N211" s="229"/>
      <c r="O211" s="229"/>
      <c r="P211" s="229"/>
    </row>
    <row r="212" spans="1:16" s="190" customFormat="1" ht="25.5">
      <c r="A212" s="391"/>
      <c r="B212" s="385"/>
      <c r="C212" s="186" t="s">
        <v>316</v>
      </c>
      <c r="D212" s="236">
        <v>65000</v>
      </c>
      <c r="E212" s="201">
        <f>66666.67*1.08+410+13.87+0.89</f>
        <v>72424.76359999999</v>
      </c>
      <c r="F212" s="227">
        <f>D212-E212</f>
        <v>-7424.763599999991</v>
      </c>
      <c r="G212" s="237" t="s">
        <v>361</v>
      </c>
      <c r="H212" s="229"/>
      <c r="I212" s="229"/>
      <c r="J212" s="229"/>
      <c r="K212" s="229"/>
      <c r="L212" s="229"/>
      <c r="M212" s="229"/>
      <c r="N212" s="229"/>
      <c r="O212" s="229"/>
      <c r="P212" s="229"/>
    </row>
    <row r="213" spans="1:16" s="190" customFormat="1" ht="12.75">
      <c r="A213" s="193"/>
      <c r="B213" s="301" t="s">
        <v>9</v>
      </c>
      <c r="C213" s="232"/>
      <c r="D213" s="216">
        <f>SUM(D210:D212)</f>
        <v>117784.94</v>
      </c>
      <c r="E213" s="217">
        <f>SUM(E210:E212)</f>
        <v>125242.5747</v>
      </c>
      <c r="F213" s="225">
        <f>SUM(F210:F212)</f>
        <v>-7457.634700000002</v>
      </c>
      <c r="G213" s="237"/>
      <c r="H213" s="229"/>
      <c r="I213" s="229"/>
      <c r="J213" s="229"/>
      <c r="K213" s="229"/>
      <c r="L213" s="229"/>
      <c r="M213" s="229"/>
      <c r="N213" s="229"/>
      <c r="O213" s="229"/>
      <c r="P213" s="229"/>
    </row>
    <row r="214" spans="1:16" s="190" customFormat="1" ht="29.25" customHeight="1">
      <c r="A214" s="389">
        <v>55</v>
      </c>
      <c r="B214" s="383" t="s">
        <v>281</v>
      </c>
      <c r="C214" s="238" t="s">
        <v>314</v>
      </c>
      <c r="D214" s="208">
        <v>59113.21</v>
      </c>
      <c r="E214" s="220">
        <f>54456.68*1.08+272.23*1.23+0.76+0.05</f>
        <v>59148.86730000001</v>
      </c>
      <c r="F214" s="227">
        <f t="shared" si="3"/>
        <v>-35.65730000001349</v>
      </c>
      <c r="G214" s="237" t="s">
        <v>354</v>
      </c>
      <c r="H214" s="229"/>
      <c r="I214" s="229"/>
      <c r="J214" s="229"/>
      <c r="K214" s="229"/>
      <c r="L214" s="229"/>
      <c r="M214" s="229"/>
      <c r="N214" s="229"/>
      <c r="O214" s="229"/>
      <c r="P214" s="229"/>
    </row>
    <row r="215" spans="1:16" s="190" customFormat="1" ht="29.25" customHeight="1">
      <c r="A215" s="390"/>
      <c r="B215" s="384"/>
      <c r="C215" s="185" t="s">
        <v>315</v>
      </c>
      <c r="D215" s="208">
        <v>3000</v>
      </c>
      <c r="E215" s="220">
        <v>3000</v>
      </c>
      <c r="F215" s="227">
        <f t="shared" si="3"/>
        <v>0</v>
      </c>
      <c r="G215" s="237" t="s">
        <v>258</v>
      </c>
      <c r="H215" s="229"/>
      <c r="I215" s="229"/>
      <c r="J215" s="229"/>
      <c r="K215" s="229"/>
      <c r="L215" s="229"/>
      <c r="M215" s="229"/>
      <c r="N215" s="229"/>
      <c r="O215" s="229"/>
      <c r="P215" s="229"/>
    </row>
    <row r="216" spans="1:16" s="190" customFormat="1" ht="29.25" customHeight="1">
      <c r="A216" s="390"/>
      <c r="B216" s="384"/>
      <c r="C216" s="185" t="s">
        <v>351</v>
      </c>
      <c r="D216" s="208"/>
      <c r="E216" s="220">
        <v>5435.55</v>
      </c>
      <c r="F216" s="227">
        <f t="shared" si="3"/>
        <v>-5435.55</v>
      </c>
      <c r="G216" s="237" t="s">
        <v>258</v>
      </c>
      <c r="H216" s="229"/>
      <c r="I216" s="229"/>
      <c r="J216" s="229"/>
      <c r="K216" s="229"/>
      <c r="L216" s="229"/>
      <c r="M216" s="229"/>
      <c r="N216" s="229"/>
      <c r="O216" s="229"/>
      <c r="P216" s="229"/>
    </row>
    <row r="217" spans="1:16" s="190" customFormat="1" ht="29.25" customHeight="1">
      <c r="A217" s="390"/>
      <c r="B217" s="384"/>
      <c r="C217" s="186" t="s">
        <v>348</v>
      </c>
      <c r="D217" s="208">
        <v>65000</v>
      </c>
      <c r="E217" s="201">
        <f>66666.67*1.08+410+14.16+0.86</f>
        <v>72425.0236</v>
      </c>
      <c r="F217" s="227">
        <f>D217-E217</f>
        <v>-7425.0236</v>
      </c>
      <c r="G217" s="237" t="s">
        <v>361</v>
      </c>
      <c r="H217" s="229"/>
      <c r="I217" s="229"/>
      <c r="J217" s="229"/>
      <c r="K217" s="229"/>
      <c r="L217" s="229"/>
      <c r="M217" s="229"/>
      <c r="N217" s="229"/>
      <c r="O217" s="229"/>
      <c r="P217" s="229"/>
    </row>
    <row r="218" spans="1:16" s="190" customFormat="1" ht="25.5">
      <c r="A218" s="391"/>
      <c r="B218" s="385"/>
      <c r="C218" s="186" t="s">
        <v>365</v>
      </c>
      <c r="D218" s="208"/>
      <c r="E218" s="201">
        <v>4523.28</v>
      </c>
      <c r="F218" s="227">
        <f>D218-E218</f>
        <v>-4523.28</v>
      </c>
      <c r="G218" s="237" t="s">
        <v>361</v>
      </c>
      <c r="H218" s="229"/>
      <c r="I218" s="229"/>
      <c r="J218" s="229"/>
      <c r="K218" s="229"/>
      <c r="L218" s="229"/>
      <c r="M218" s="229"/>
      <c r="N218" s="229"/>
      <c r="O218" s="229"/>
      <c r="P218" s="229"/>
    </row>
    <row r="219" spans="1:16" s="190" customFormat="1" ht="12.75">
      <c r="A219" s="193"/>
      <c r="B219" s="301" t="s">
        <v>9</v>
      </c>
      <c r="C219" s="232"/>
      <c r="D219" s="216">
        <f>SUM(D214:D218)</f>
        <v>127113.20999999999</v>
      </c>
      <c r="E219" s="216">
        <f>SUM(E214:E218)</f>
        <v>144532.72090000001</v>
      </c>
      <c r="F219" s="216">
        <f>SUM(F214:F218)</f>
        <v>-17419.510900000012</v>
      </c>
      <c r="G219" s="192"/>
      <c r="H219" s="229"/>
      <c r="I219" s="229"/>
      <c r="J219" s="229"/>
      <c r="K219" s="229"/>
      <c r="L219" s="229"/>
      <c r="M219" s="229"/>
      <c r="N219" s="229"/>
      <c r="O219" s="229"/>
      <c r="P219" s="229"/>
    </row>
    <row r="220" spans="1:16" s="190" customFormat="1" ht="12.75">
      <c r="A220" s="184">
        <v>56</v>
      </c>
      <c r="B220" s="325" t="s">
        <v>193</v>
      </c>
      <c r="C220" s="185" t="s">
        <v>287</v>
      </c>
      <c r="D220" s="199">
        <v>2700</v>
      </c>
      <c r="E220" s="200">
        <f>1.06+0.03+2283.47</f>
        <v>2284.56</v>
      </c>
      <c r="F220" s="227">
        <f>D220-E220</f>
        <v>415.44000000000005</v>
      </c>
      <c r="G220" s="237" t="s">
        <v>258</v>
      </c>
      <c r="H220" s="229"/>
      <c r="I220" s="229"/>
      <c r="J220" s="229"/>
      <c r="K220" s="229"/>
      <c r="L220" s="229"/>
      <c r="M220" s="229"/>
      <c r="N220" s="229"/>
      <c r="O220" s="229"/>
      <c r="P220" s="229"/>
    </row>
    <row r="221" spans="1:16" s="190" customFormat="1" ht="12.75">
      <c r="A221" s="193"/>
      <c r="B221" s="301" t="s">
        <v>9</v>
      </c>
      <c r="C221" s="232"/>
      <c r="D221" s="216">
        <f>SUM(D220:D220)</f>
        <v>2700</v>
      </c>
      <c r="E221" s="217">
        <f>SUM(E220:E220)</f>
        <v>2284.56</v>
      </c>
      <c r="F221" s="225">
        <f>SUM(F220:F220)</f>
        <v>415.44000000000005</v>
      </c>
      <c r="G221" s="222"/>
      <c r="H221" s="229"/>
      <c r="I221" s="229"/>
      <c r="J221" s="229"/>
      <c r="K221" s="229"/>
      <c r="L221" s="229"/>
      <c r="M221" s="229"/>
      <c r="N221" s="229"/>
      <c r="O221" s="229"/>
      <c r="P221" s="229"/>
    </row>
    <row r="222" spans="1:16" s="190" customFormat="1" ht="24.75" customHeight="1">
      <c r="A222" s="389">
        <v>57</v>
      </c>
      <c r="B222" s="383" t="s">
        <v>278</v>
      </c>
      <c r="C222" s="332" t="s">
        <v>142</v>
      </c>
      <c r="D222" s="292">
        <v>9000</v>
      </c>
      <c r="E222" s="200">
        <f>1450.12+3565.95+49.88+99.92</f>
        <v>5165.87</v>
      </c>
      <c r="F222" s="221">
        <f>D222-E222</f>
        <v>3834.13</v>
      </c>
      <c r="G222" s="237" t="s">
        <v>258</v>
      </c>
      <c r="H222" s="229"/>
      <c r="I222" s="229"/>
      <c r="J222" s="229"/>
      <c r="K222" s="229"/>
      <c r="L222" s="229"/>
      <c r="M222" s="229"/>
      <c r="N222" s="229"/>
      <c r="O222" s="229"/>
      <c r="P222" s="229"/>
    </row>
    <row r="223" spans="1:16" s="190" customFormat="1" ht="12.75">
      <c r="A223" s="391"/>
      <c r="B223" s="385"/>
      <c r="C223" s="185" t="s">
        <v>287</v>
      </c>
      <c r="D223" s="293">
        <v>2700</v>
      </c>
      <c r="E223" s="200">
        <f>1.06+0.03+2283.47</f>
        <v>2284.56</v>
      </c>
      <c r="F223" s="221">
        <f>D223-E223</f>
        <v>415.44000000000005</v>
      </c>
      <c r="G223" s="237" t="s">
        <v>258</v>
      </c>
      <c r="H223" s="229"/>
      <c r="I223" s="229"/>
      <c r="J223" s="229"/>
      <c r="K223" s="229"/>
      <c r="L223" s="229"/>
      <c r="M223" s="229"/>
      <c r="N223" s="229"/>
      <c r="O223" s="229"/>
      <c r="P223" s="229"/>
    </row>
    <row r="224" spans="1:16" s="190" customFormat="1" ht="12.75">
      <c r="A224" s="193"/>
      <c r="B224" s="301" t="s">
        <v>9</v>
      </c>
      <c r="C224" s="239"/>
      <c r="D224" s="216">
        <f>SUM(D222:D223)</f>
        <v>11700</v>
      </c>
      <c r="E224" s="217">
        <f>SUM(E222:E223)</f>
        <v>7450.43</v>
      </c>
      <c r="F224" s="216">
        <f>SUM(F222:F223)</f>
        <v>4249.57</v>
      </c>
      <c r="G224" s="237"/>
      <c r="H224" s="229"/>
      <c r="I224" s="229"/>
      <c r="J224" s="229"/>
      <c r="K224" s="229"/>
      <c r="L224" s="229"/>
      <c r="M224" s="229"/>
      <c r="N224" s="229"/>
      <c r="O224" s="229"/>
      <c r="P224" s="229"/>
    </row>
    <row r="225" spans="1:16" s="190" customFormat="1" ht="12.75">
      <c r="A225" s="389">
        <v>58</v>
      </c>
      <c r="B225" s="383" t="s">
        <v>200</v>
      </c>
      <c r="C225" s="185" t="s">
        <v>159</v>
      </c>
      <c r="D225" s="221">
        <v>13033.8</v>
      </c>
      <c r="E225" s="240">
        <f>12529.63+398.49+71.35</f>
        <v>12999.47</v>
      </c>
      <c r="F225" s="221">
        <f>D225-E225</f>
        <v>34.32999999999993</v>
      </c>
      <c r="G225" s="237" t="s">
        <v>258</v>
      </c>
      <c r="H225" s="229"/>
      <c r="I225" s="229"/>
      <c r="J225" s="229"/>
      <c r="K225" s="229"/>
      <c r="L225" s="229"/>
      <c r="M225" s="229"/>
      <c r="N225" s="229"/>
      <c r="O225" s="229"/>
      <c r="P225" s="229"/>
    </row>
    <row r="226" spans="1:16" s="190" customFormat="1" ht="12.75">
      <c r="A226" s="390"/>
      <c r="B226" s="384"/>
      <c r="C226" s="185" t="s">
        <v>346</v>
      </c>
      <c r="D226" s="221"/>
      <c r="E226" s="240">
        <f>951.3+26.57</f>
        <v>977.87</v>
      </c>
      <c r="F226" s="221">
        <f>D226-E226</f>
        <v>-977.87</v>
      </c>
      <c r="G226" s="237" t="s">
        <v>258</v>
      </c>
      <c r="H226" s="229"/>
      <c r="I226" s="229"/>
      <c r="J226" s="229"/>
      <c r="K226" s="229"/>
      <c r="L226" s="229"/>
      <c r="M226" s="229"/>
      <c r="N226" s="229"/>
      <c r="O226" s="229"/>
      <c r="P226" s="229"/>
    </row>
    <row r="227" spans="1:16" s="190" customFormat="1" ht="12.75">
      <c r="A227" s="391"/>
      <c r="B227" s="385"/>
      <c r="C227" s="185" t="s">
        <v>287</v>
      </c>
      <c r="D227" s="221">
        <v>2700</v>
      </c>
      <c r="E227" s="221">
        <f>1.06+0.03+2283.47+1.99</f>
        <v>2286.5499999999997</v>
      </c>
      <c r="F227" s="221">
        <f>D227-E227</f>
        <v>413.4500000000003</v>
      </c>
      <c r="G227" s="237" t="s">
        <v>258</v>
      </c>
      <c r="H227" s="229"/>
      <c r="I227" s="229"/>
      <c r="J227" s="229"/>
      <c r="K227" s="229"/>
      <c r="L227" s="229"/>
      <c r="M227" s="229"/>
      <c r="N227" s="229"/>
      <c r="O227" s="229"/>
      <c r="P227" s="229"/>
    </row>
    <row r="228" spans="1:16" s="190" customFormat="1" ht="12.75">
      <c r="A228" s="193"/>
      <c r="B228" s="301" t="s">
        <v>9</v>
      </c>
      <c r="C228" s="239"/>
      <c r="D228" s="216">
        <f>SUM(D225:D227)</f>
        <v>15733.8</v>
      </c>
      <c r="E228" s="217">
        <f>SUM(E225:E227)</f>
        <v>16263.89</v>
      </c>
      <c r="F228" s="216">
        <f>SUM(F225:F227)</f>
        <v>-530.0899999999998</v>
      </c>
      <c r="G228" s="222"/>
      <c r="H228" s="229"/>
      <c r="I228" s="229"/>
      <c r="J228" s="229"/>
      <c r="K228" s="229"/>
      <c r="L228" s="229"/>
      <c r="M228" s="229"/>
      <c r="N228" s="229"/>
      <c r="O228" s="229"/>
      <c r="P228" s="229"/>
    </row>
    <row r="229" spans="1:16" s="190" customFormat="1" ht="25.5">
      <c r="A229" s="389">
        <v>59</v>
      </c>
      <c r="B229" s="383" t="s">
        <v>204</v>
      </c>
      <c r="C229" s="185" t="s">
        <v>317</v>
      </c>
      <c r="D229" s="221">
        <v>39520</v>
      </c>
      <c r="E229" s="241">
        <f>3.06+0.08+20658.87*1.23+127.05</f>
        <v>25540.600099999996</v>
      </c>
      <c r="F229" s="221">
        <f>D229-E229</f>
        <v>13979.399900000004</v>
      </c>
      <c r="G229" s="237" t="s">
        <v>258</v>
      </c>
      <c r="H229" s="229"/>
      <c r="I229" s="229"/>
      <c r="J229" s="229"/>
      <c r="K229" s="229"/>
      <c r="L229" s="229"/>
      <c r="M229" s="229"/>
      <c r="N229" s="229"/>
      <c r="O229" s="229"/>
      <c r="P229" s="229"/>
    </row>
    <row r="230" spans="1:16" s="190" customFormat="1" ht="12.75">
      <c r="A230" s="391"/>
      <c r="B230" s="385"/>
      <c r="C230" s="185" t="s">
        <v>287</v>
      </c>
      <c r="D230" s="221">
        <v>1950</v>
      </c>
      <c r="E230" s="241">
        <f>0.79+1581.51+48.48</f>
        <v>1630.78</v>
      </c>
      <c r="F230" s="221">
        <f>D230-E230</f>
        <v>319.22</v>
      </c>
      <c r="G230" s="237" t="s">
        <v>258</v>
      </c>
      <c r="H230" s="229"/>
      <c r="I230" s="229"/>
      <c r="J230" s="229"/>
      <c r="K230" s="229"/>
      <c r="L230" s="229"/>
      <c r="M230" s="229"/>
      <c r="N230" s="229"/>
      <c r="O230" s="229"/>
      <c r="P230" s="229"/>
    </row>
    <row r="231" spans="1:16" s="190" customFormat="1" ht="12.75">
      <c r="A231" s="193"/>
      <c r="B231" s="301" t="s">
        <v>9</v>
      </c>
      <c r="C231" s="239"/>
      <c r="D231" s="216">
        <f>SUM(D229:D230)</f>
        <v>41470</v>
      </c>
      <c r="E231" s="217">
        <f>SUM(E229:E230)</f>
        <v>27171.380099999995</v>
      </c>
      <c r="F231" s="216">
        <f>SUM(F229:F229)</f>
        <v>13979.399900000004</v>
      </c>
      <c r="G231" s="222"/>
      <c r="H231" s="229"/>
      <c r="I231" s="229"/>
      <c r="J231" s="229"/>
      <c r="K231" s="229"/>
      <c r="L231" s="229"/>
      <c r="M231" s="229"/>
      <c r="N231" s="229"/>
      <c r="O231" s="229"/>
      <c r="P231" s="229"/>
    </row>
    <row r="232" spans="1:16" s="190" customFormat="1" ht="12.75">
      <c r="A232" s="389">
        <v>60</v>
      </c>
      <c r="B232" s="383" t="s">
        <v>209</v>
      </c>
      <c r="C232" s="294" t="s">
        <v>318</v>
      </c>
      <c r="D232" s="295">
        <v>27860</v>
      </c>
      <c r="E232" s="297">
        <f>2.95+15608.93*1.23+95.99</f>
        <v>19297.9239</v>
      </c>
      <c r="F232" s="221">
        <f>D232-E232</f>
        <v>8562.076099999998</v>
      </c>
      <c r="G232" s="237" t="s">
        <v>258</v>
      </c>
      <c r="H232" s="229"/>
      <c r="I232" s="229"/>
      <c r="J232" s="229"/>
      <c r="K232" s="229"/>
      <c r="L232" s="229"/>
      <c r="M232" s="229"/>
      <c r="N232" s="229"/>
      <c r="O232" s="229"/>
      <c r="P232" s="229"/>
    </row>
    <row r="233" spans="1:16" s="190" customFormat="1" ht="12.75">
      <c r="A233" s="391"/>
      <c r="B233" s="385"/>
      <c r="C233" s="185" t="s">
        <v>287</v>
      </c>
      <c r="D233" s="296">
        <v>1950</v>
      </c>
      <c r="E233" s="200">
        <f>0.79+1581.51</f>
        <v>1582.3</v>
      </c>
      <c r="F233" s="221">
        <f>D233-E233</f>
        <v>367.70000000000005</v>
      </c>
      <c r="G233" s="237" t="s">
        <v>258</v>
      </c>
      <c r="H233" s="229"/>
      <c r="I233" s="229"/>
      <c r="J233" s="229"/>
      <c r="K233" s="229"/>
      <c r="L233" s="229"/>
      <c r="M233" s="229"/>
      <c r="N233" s="229"/>
      <c r="O233" s="229"/>
      <c r="P233" s="229"/>
    </row>
    <row r="234" spans="1:16" s="190" customFormat="1" ht="15.75" customHeight="1">
      <c r="A234" s="193"/>
      <c r="B234" s="301" t="s">
        <v>9</v>
      </c>
      <c r="C234" s="239"/>
      <c r="D234" s="216">
        <f>SUM(D232:D233)</f>
        <v>29810</v>
      </c>
      <c r="E234" s="217">
        <f>SUM(E232:E233)</f>
        <v>20880.2239</v>
      </c>
      <c r="F234" s="216">
        <f>SUM(F232:F233)</f>
        <v>8929.7761</v>
      </c>
      <c r="G234" s="237"/>
      <c r="H234" s="229"/>
      <c r="I234" s="229"/>
      <c r="J234" s="229"/>
      <c r="K234" s="229"/>
      <c r="L234" s="229"/>
      <c r="M234" s="229"/>
      <c r="N234" s="229"/>
      <c r="O234" s="229"/>
      <c r="P234" s="229"/>
    </row>
    <row r="235" spans="1:16" s="190" customFormat="1" ht="12.75">
      <c r="A235" s="389">
        <v>61</v>
      </c>
      <c r="B235" s="383" t="s">
        <v>214</v>
      </c>
      <c r="C235" s="294" t="s">
        <v>318</v>
      </c>
      <c r="D235" s="297">
        <v>22540</v>
      </c>
      <c r="E235" s="218">
        <f>2.95+17062.7*1.23+104.94</f>
        <v>21095.011</v>
      </c>
      <c r="F235" s="221">
        <f>D235-E235</f>
        <v>1444.9890000000014</v>
      </c>
      <c r="G235" s="237" t="s">
        <v>258</v>
      </c>
      <c r="H235" s="229"/>
      <c r="I235" s="229"/>
      <c r="J235" s="229"/>
      <c r="K235" s="229"/>
      <c r="L235" s="229"/>
      <c r="M235" s="229"/>
      <c r="N235" s="229"/>
      <c r="O235" s="229"/>
      <c r="P235" s="229"/>
    </row>
    <row r="236" spans="1:16" s="190" customFormat="1" ht="12.75">
      <c r="A236" s="390"/>
      <c r="B236" s="384"/>
      <c r="C236" s="283" t="s">
        <v>284</v>
      </c>
      <c r="D236" s="298">
        <v>9000</v>
      </c>
      <c r="E236" s="220">
        <f>7.86+6333.65*1.08+38.95</f>
        <v>6887.151999999999</v>
      </c>
      <c r="F236" s="221">
        <f>D236-E236</f>
        <v>2112.848000000001</v>
      </c>
      <c r="G236" s="237" t="s">
        <v>258</v>
      </c>
      <c r="H236" s="229"/>
      <c r="I236" s="229"/>
      <c r="J236" s="229"/>
      <c r="K236" s="229"/>
      <c r="L236" s="229"/>
      <c r="M236" s="229"/>
      <c r="N236" s="229"/>
      <c r="O236" s="229"/>
      <c r="P236" s="229"/>
    </row>
    <row r="237" spans="1:16" s="190" customFormat="1" ht="15" customHeight="1">
      <c r="A237" s="391"/>
      <c r="B237" s="385"/>
      <c r="C237" s="185" t="s">
        <v>287</v>
      </c>
      <c r="D237" s="298">
        <v>1950</v>
      </c>
      <c r="E237" s="218">
        <f>0.79+1581.51</f>
        <v>1582.3</v>
      </c>
      <c r="F237" s="221">
        <f>D237-E237</f>
        <v>367.70000000000005</v>
      </c>
      <c r="G237" s="237" t="s">
        <v>258</v>
      </c>
      <c r="H237" s="229"/>
      <c r="I237" s="229"/>
      <c r="J237" s="229"/>
      <c r="K237" s="229"/>
      <c r="L237" s="229"/>
      <c r="M237" s="229"/>
      <c r="N237" s="229"/>
      <c r="O237" s="229"/>
      <c r="P237" s="229"/>
    </row>
    <row r="238" spans="1:16" s="190" customFormat="1" ht="12.75">
      <c r="A238" s="193"/>
      <c r="B238" s="301" t="s">
        <v>9</v>
      </c>
      <c r="C238" s="239"/>
      <c r="D238" s="216">
        <f>SUM(D235:D237)</f>
        <v>33490</v>
      </c>
      <c r="E238" s="217">
        <f>SUM(E235:E237)</f>
        <v>29564.462999999996</v>
      </c>
      <c r="F238" s="216">
        <f>SUM(F235:F237)</f>
        <v>3925.537000000002</v>
      </c>
      <c r="G238" s="222"/>
      <c r="H238" s="229"/>
      <c r="I238" s="229"/>
      <c r="J238" s="229"/>
      <c r="K238" s="229"/>
      <c r="L238" s="229"/>
      <c r="M238" s="229"/>
      <c r="N238" s="229"/>
      <c r="O238" s="229"/>
      <c r="P238" s="229"/>
    </row>
    <row r="239" spans="1:16" s="190" customFormat="1" ht="12.75">
      <c r="A239" s="389">
        <v>62</v>
      </c>
      <c r="B239" s="383" t="s">
        <v>217</v>
      </c>
      <c r="C239" s="294" t="s">
        <v>319</v>
      </c>
      <c r="D239" s="297">
        <v>58760</v>
      </c>
      <c r="E239" s="218">
        <f>2.96+46979.8*1.23+288.93</f>
        <v>58077.044</v>
      </c>
      <c r="F239" s="221">
        <f>D239-E239</f>
        <v>682.9559999999983</v>
      </c>
      <c r="G239" s="237" t="s">
        <v>258</v>
      </c>
      <c r="H239" s="229"/>
      <c r="I239" s="229"/>
      <c r="J239" s="229"/>
      <c r="K239" s="229"/>
      <c r="L239" s="229"/>
      <c r="M239" s="229"/>
      <c r="N239" s="229"/>
      <c r="O239" s="229"/>
      <c r="P239" s="229"/>
    </row>
    <row r="240" spans="1:16" s="190" customFormat="1" ht="12.75" customHeight="1">
      <c r="A240" s="391"/>
      <c r="B240" s="385"/>
      <c r="C240" s="280" t="s">
        <v>287</v>
      </c>
      <c r="D240" s="296">
        <v>1950</v>
      </c>
      <c r="E240" s="218">
        <f>0.79+1581.51</f>
        <v>1582.3</v>
      </c>
      <c r="F240" s="221">
        <f>D240-E240</f>
        <v>367.70000000000005</v>
      </c>
      <c r="G240" s="237" t="s">
        <v>258</v>
      </c>
      <c r="H240" s="229"/>
      <c r="I240" s="229"/>
      <c r="J240" s="229"/>
      <c r="K240" s="229"/>
      <c r="L240" s="229"/>
      <c r="M240" s="229"/>
      <c r="N240" s="229"/>
      <c r="O240" s="229"/>
      <c r="P240" s="229"/>
    </row>
    <row r="241" spans="1:16" s="190" customFormat="1" ht="12.75">
      <c r="A241" s="193"/>
      <c r="B241" s="301" t="s">
        <v>9</v>
      </c>
      <c r="C241" s="239"/>
      <c r="D241" s="216">
        <f>SUM(D239:D240)</f>
        <v>60710</v>
      </c>
      <c r="E241" s="217">
        <f>SUM(E239:E240)</f>
        <v>59659.344000000005</v>
      </c>
      <c r="F241" s="216">
        <f>SUM(F239:F240)</f>
        <v>1050.6559999999984</v>
      </c>
      <c r="G241" s="222"/>
      <c r="H241" s="229"/>
      <c r="I241" s="229"/>
      <c r="J241" s="229"/>
      <c r="K241" s="229"/>
      <c r="L241" s="229"/>
      <c r="M241" s="229"/>
      <c r="N241" s="229"/>
      <c r="O241" s="229"/>
      <c r="P241" s="229"/>
    </row>
    <row r="242" spans="1:16" s="190" customFormat="1" ht="12.75">
      <c r="A242" s="389">
        <v>63</v>
      </c>
      <c r="B242" s="383" t="s">
        <v>222</v>
      </c>
      <c r="C242" s="294" t="s">
        <v>318</v>
      </c>
      <c r="D242" s="333">
        <v>42440</v>
      </c>
      <c r="E242" s="218">
        <f>2.96+35502.66*1.23+218.34</f>
        <v>43889.5718</v>
      </c>
      <c r="F242" s="221">
        <f>D242-E242</f>
        <v>-1449.571799999998</v>
      </c>
      <c r="G242" s="237" t="s">
        <v>258</v>
      </c>
      <c r="H242" s="229"/>
      <c r="I242" s="229"/>
      <c r="J242" s="229"/>
      <c r="K242" s="229"/>
      <c r="L242" s="229"/>
      <c r="M242" s="229"/>
      <c r="N242" s="229"/>
      <c r="O242" s="229"/>
      <c r="P242" s="229"/>
    </row>
    <row r="243" spans="1:16" s="190" customFormat="1" ht="15.75" customHeight="1">
      <c r="A243" s="391"/>
      <c r="B243" s="385"/>
      <c r="C243" s="280" t="s">
        <v>287</v>
      </c>
      <c r="D243" s="326">
        <v>1950</v>
      </c>
      <c r="E243" s="218">
        <f>0.79+1581.51</f>
        <v>1582.3</v>
      </c>
      <c r="F243" s="221">
        <f>D243-E243</f>
        <v>367.70000000000005</v>
      </c>
      <c r="G243" s="237" t="s">
        <v>258</v>
      </c>
      <c r="H243" s="229"/>
      <c r="I243" s="229"/>
      <c r="J243" s="229"/>
      <c r="K243" s="229"/>
      <c r="L243" s="229"/>
      <c r="M243" s="229"/>
      <c r="N243" s="229"/>
      <c r="O243" s="229"/>
      <c r="P243" s="229"/>
    </row>
    <row r="244" spans="1:16" s="190" customFormat="1" ht="12.75">
      <c r="A244" s="193"/>
      <c r="B244" s="301" t="s">
        <v>9</v>
      </c>
      <c r="C244" s="239"/>
      <c r="D244" s="216">
        <f>SUM(D242:D243)</f>
        <v>44390</v>
      </c>
      <c r="E244" s="216">
        <f>SUM(E242:E243)</f>
        <v>45471.8718</v>
      </c>
      <c r="F244" s="216">
        <f>SUM(F242:F243)</f>
        <v>-1081.8717999999978</v>
      </c>
      <c r="G244" s="222"/>
      <c r="H244" s="229"/>
      <c r="I244" s="229"/>
      <c r="J244" s="229"/>
      <c r="K244" s="229"/>
      <c r="L244" s="229"/>
      <c r="M244" s="229"/>
      <c r="N244" s="229"/>
      <c r="O244" s="229"/>
      <c r="P244" s="229"/>
    </row>
    <row r="245" spans="1:16" s="190" customFormat="1" ht="12.75">
      <c r="A245" s="389">
        <v>64</v>
      </c>
      <c r="B245" s="383" t="s">
        <v>225</v>
      </c>
      <c r="C245" s="294" t="s">
        <v>318</v>
      </c>
      <c r="D245" s="221">
        <v>8880</v>
      </c>
      <c r="E245" s="218">
        <f>2.96+8187.04*1.23+50.35</f>
        <v>10123.3692</v>
      </c>
      <c r="F245" s="221">
        <f>D245-E245</f>
        <v>-1243.3691999999992</v>
      </c>
      <c r="G245" s="237" t="s">
        <v>258</v>
      </c>
      <c r="H245" s="229"/>
      <c r="I245" s="229"/>
      <c r="J245" s="229"/>
      <c r="K245" s="229"/>
      <c r="L245" s="229"/>
      <c r="M245" s="229"/>
      <c r="N245" s="229"/>
      <c r="O245" s="229"/>
      <c r="P245" s="229"/>
    </row>
    <row r="246" spans="1:16" s="190" customFormat="1" ht="16.5" customHeight="1">
      <c r="A246" s="391"/>
      <c r="B246" s="385"/>
      <c r="C246" s="280" t="s">
        <v>287</v>
      </c>
      <c r="D246" s="221">
        <v>2650</v>
      </c>
      <c r="E246" s="218">
        <f>0.79+2085.81</f>
        <v>2086.6</v>
      </c>
      <c r="F246" s="221">
        <f>D246-E246</f>
        <v>563.4000000000001</v>
      </c>
      <c r="G246" s="237" t="s">
        <v>258</v>
      </c>
      <c r="H246" s="229"/>
      <c r="I246" s="229"/>
      <c r="J246" s="229"/>
      <c r="K246" s="229"/>
      <c r="L246" s="229"/>
      <c r="M246" s="229"/>
      <c r="N246" s="229"/>
      <c r="O246" s="229"/>
      <c r="P246" s="229"/>
    </row>
    <row r="247" spans="1:16" s="190" customFormat="1" ht="12.75">
      <c r="A247" s="193"/>
      <c r="B247" s="301" t="s">
        <v>9</v>
      </c>
      <c r="C247" s="239"/>
      <c r="D247" s="216">
        <f>SUM(D245:D246)</f>
        <v>11530</v>
      </c>
      <c r="E247" s="216">
        <f>SUM(E245:E246)</f>
        <v>12209.9692</v>
      </c>
      <c r="F247" s="216">
        <f>SUM(F245:F246)</f>
        <v>-679.9691999999991</v>
      </c>
      <c r="G247" s="237"/>
      <c r="H247" s="229"/>
      <c r="I247" s="229"/>
      <c r="J247" s="229"/>
      <c r="K247" s="229"/>
      <c r="L247" s="229"/>
      <c r="M247" s="229"/>
      <c r="N247" s="229"/>
      <c r="O247" s="229"/>
      <c r="P247" s="229"/>
    </row>
    <row r="248" spans="1:16" s="190" customFormat="1" ht="25.5">
      <c r="A248" s="389">
        <v>65</v>
      </c>
      <c r="B248" s="383" t="s">
        <v>229</v>
      </c>
      <c r="C248" s="280" t="s">
        <v>332</v>
      </c>
      <c r="D248" s="291">
        <v>5000</v>
      </c>
      <c r="E248" s="200">
        <f>2202.24+70.13</f>
        <v>2272.37</v>
      </c>
      <c r="F248" s="221">
        <f>D248-E248</f>
        <v>2727.63</v>
      </c>
      <c r="G248" s="237" t="s">
        <v>258</v>
      </c>
      <c r="H248" s="229"/>
      <c r="I248" s="229"/>
      <c r="J248" s="229"/>
      <c r="K248" s="229"/>
      <c r="L248" s="229"/>
      <c r="M248" s="229"/>
      <c r="N248" s="229"/>
      <c r="O248" s="229"/>
      <c r="P248" s="229"/>
    </row>
    <row r="249" spans="1:16" s="190" customFormat="1" ht="25.5">
      <c r="A249" s="390"/>
      <c r="B249" s="384"/>
      <c r="C249" s="334" t="s">
        <v>333</v>
      </c>
      <c r="D249" s="284">
        <v>25414</v>
      </c>
      <c r="E249" s="200">
        <f>22885.66+1225.8</f>
        <v>24111.46</v>
      </c>
      <c r="F249" s="221">
        <f>D249-E249</f>
        <v>1302.5400000000009</v>
      </c>
      <c r="G249" s="237" t="s">
        <v>258</v>
      </c>
      <c r="H249" s="229"/>
      <c r="I249" s="229"/>
      <c r="J249" s="229"/>
      <c r="K249" s="229"/>
      <c r="L249" s="229"/>
      <c r="M249" s="229"/>
      <c r="N249" s="229"/>
      <c r="O249" s="229"/>
      <c r="P249" s="229"/>
    </row>
    <row r="250" spans="1:16" s="190" customFormat="1" ht="12.75">
      <c r="A250" s="390"/>
      <c r="B250" s="384"/>
      <c r="C250" s="335" t="s">
        <v>304</v>
      </c>
      <c r="D250" s="336">
        <v>400</v>
      </c>
      <c r="E250" s="200">
        <f>452.83+1.84</f>
        <v>454.66999999999996</v>
      </c>
      <c r="F250" s="221">
        <f>D250-E250</f>
        <v>-54.66999999999996</v>
      </c>
      <c r="G250" s="237" t="s">
        <v>258</v>
      </c>
      <c r="H250" s="229"/>
      <c r="I250" s="229"/>
      <c r="J250" s="229"/>
      <c r="K250" s="229"/>
      <c r="L250" s="229"/>
      <c r="M250" s="229"/>
      <c r="N250" s="229"/>
      <c r="O250" s="229"/>
      <c r="P250" s="229"/>
    </row>
    <row r="251" spans="1:16" s="190" customFormat="1" ht="12.75">
      <c r="A251" s="390"/>
      <c r="B251" s="384"/>
      <c r="C251" s="280" t="s">
        <v>334</v>
      </c>
      <c r="D251" s="291">
        <v>400</v>
      </c>
      <c r="E251" s="200">
        <f>395.31+1.61</f>
        <v>396.92</v>
      </c>
      <c r="F251" s="221">
        <f>D251-E251</f>
        <v>3.079999999999984</v>
      </c>
      <c r="G251" s="237" t="s">
        <v>258</v>
      </c>
      <c r="H251" s="229"/>
      <c r="I251" s="229"/>
      <c r="J251" s="229"/>
      <c r="K251" s="229"/>
      <c r="L251" s="229"/>
      <c r="M251" s="229"/>
      <c r="N251" s="229"/>
      <c r="O251" s="229"/>
      <c r="P251" s="229"/>
    </row>
    <row r="252" spans="1:16" s="190" customFormat="1" ht="25.5">
      <c r="A252" s="391"/>
      <c r="B252" s="385"/>
      <c r="C252" s="334" t="s">
        <v>350</v>
      </c>
      <c r="D252" s="284">
        <v>62353.06</v>
      </c>
      <c r="E252" s="201">
        <f>61000*1.08+61000*0.5%*1.23</f>
        <v>66255.15</v>
      </c>
      <c r="F252" s="221">
        <f>D252-E252</f>
        <v>-3902.0899999999965</v>
      </c>
      <c r="G252" s="237" t="s">
        <v>353</v>
      </c>
      <c r="H252" s="229"/>
      <c r="I252" s="229"/>
      <c r="J252" s="229"/>
      <c r="K252" s="229"/>
      <c r="L252" s="229"/>
      <c r="M252" s="229"/>
      <c r="N252" s="229"/>
      <c r="O252" s="229"/>
      <c r="P252" s="229"/>
    </row>
    <row r="253" spans="1:16" s="190" customFormat="1" ht="12.75" customHeight="1">
      <c r="A253" s="193"/>
      <c r="B253" s="301" t="s">
        <v>9</v>
      </c>
      <c r="C253" s="239"/>
      <c r="D253" s="217">
        <f>SUM(D248:D252)</f>
        <v>93567.06</v>
      </c>
      <c r="E253" s="217">
        <f>SUM(E248:E252)</f>
        <v>93490.56999999999</v>
      </c>
      <c r="F253" s="217">
        <f>SUM(F248:F252)</f>
        <v>76.49000000000433</v>
      </c>
      <c r="G253" s="222"/>
      <c r="H253" s="229"/>
      <c r="I253" s="229"/>
      <c r="J253" s="229"/>
      <c r="K253" s="229"/>
      <c r="L253" s="229"/>
      <c r="M253" s="229"/>
      <c r="N253" s="229"/>
      <c r="O253" s="229"/>
      <c r="P253" s="229"/>
    </row>
    <row r="254" spans="1:16" s="190" customFormat="1" ht="12.75">
      <c r="A254" s="389">
        <v>66</v>
      </c>
      <c r="B254" s="383" t="s">
        <v>232</v>
      </c>
      <c r="C254" s="294" t="s">
        <v>335</v>
      </c>
      <c r="D254" s="297">
        <v>40000</v>
      </c>
      <c r="E254" s="242">
        <f>5.62+20000*1.23+123</f>
        <v>24728.62</v>
      </c>
      <c r="F254" s="221">
        <f>D254-E254</f>
        <v>15271.380000000001</v>
      </c>
      <c r="G254" s="237" t="s">
        <v>258</v>
      </c>
      <c r="H254" s="229"/>
      <c r="I254" s="229"/>
      <c r="J254" s="229"/>
      <c r="K254" s="229"/>
      <c r="L254" s="229"/>
      <c r="M254" s="229"/>
      <c r="N254" s="229"/>
      <c r="O254" s="229"/>
      <c r="P254" s="229"/>
    </row>
    <row r="255" spans="1:16" s="190" customFormat="1" ht="12.75">
      <c r="A255" s="391"/>
      <c r="B255" s="385"/>
      <c r="C255" s="294" t="s">
        <v>320</v>
      </c>
      <c r="D255" s="297"/>
      <c r="E255" s="242">
        <f>271.14</f>
        <v>271.14</v>
      </c>
      <c r="F255" s="221">
        <f>D255-E255</f>
        <v>-271.14</v>
      </c>
      <c r="G255" s="237" t="s">
        <v>258</v>
      </c>
      <c r="H255" s="229"/>
      <c r="I255" s="229"/>
      <c r="J255" s="229"/>
      <c r="K255" s="229"/>
      <c r="L255" s="229"/>
      <c r="M255" s="229"/>
      <c r="N255" s="229"/>
      <c r="O255" s="229"/>
      <c r="P255" s="229"/>
    </row>
    <row r="256" spans="1:16" s="190" customFormat="1" ht="12.75">
      <c r="A256" s="193"/>
      <c r="B256" s="301" t="s">
        <v>9</v>
      </c>
      <c r="C256" s="239"/>
      <c r="D256" s="216">
        <f>SUM(D254:D255)</f>
        <v>40000</v>
      </c>
      <c r="E256" s="216">
        <f>SUM(E254:E255)</f>
        <v>24999.76</v>
      </c>
      <c r="F256" s="216">
        <f>SUM(F254:F255)</f>
        <v>15000.240000000002</v>
      </c>
      <c r="G256" s="192"/>
      <c r="H256" s="229"/>
      <c r="I256" s="229"/>
      <c r="J256" s="229"/>
      <c r="K256" s="229"/>
      <c r="L256" s="229"/>
      <c r="M256" s="229"/>
      <c r="N256" s="229"/>
      <c r="O256" s="229"/>
      <c r="P256" s="229"/>
    </row>
    <row r="257" spans="1:16" s="190" customFormat="1" ht="51">
      <c r="A257" s="389">
        <v>67</v>
      </c>
      <c r="B257" s="383" t="s">
        <v>238</v>
      </c>
      <c r="C257" s="280" t="s">
        <v>336</v>
      </c>
      <c r="D257" s="291">
        <v>1811</v>
      </c>
      <c r="E257" s="200">
        <f>1029.03+770.97</f>
        <v>1800</v>
      </c>
      <c r="F257" s="221">
        <f>D257-E257</f>
        <v>11</v>
      </c>
      <c r="G257" s="237" t="s">
        <v>258</v>
      </c>
      <c r="H257" s="229"/>
      <c r="I257" s="229"/>
      <c r="J257" s="229"/>
      <c r="K257" s="229"/>
      <c r="L257" s="229"/>
      <c r="M257" s="229"/>
      <c r="N257" s="229"/>
      <c r="O257" s="229"/>
      <c r="P257" s="229"/>
    </row>
    <row r="258" spans="1:16" s="190" customFormat="1" ht="25.5">
      <c r="A258" s="390"/>
      <c r="B258" s="384"/>
      <c r="C258" s="280" t="s">
        <v>337</v>
      </c>
      <c r="D258" s="291">
        <v>40000</v>
      </c>
      <c r="E258" s="200">
        <f>11.74+24582.31+7.15+17053.41+244.86</f>
        <v>41899.47</v>
      </c>
      <c r="F258" s="221">
        <f>D258-E258</f>
        <v>-1899.4700000000012</v>
      </c>
      <c r="G258" s="237" t="s">
        <v>258</v>
      </c>
      <c r="H258" s="229"/>
      <c r="I258" s="229"/>
      <c r="J258" s="229"/>
      <c r="K258" s="229"/>
      <c r="L258" s="229"/>
      <c r="M258" s="229"/>
      <c r="N258" s="229"/>
      <c r="O258" s="229"/>
      <c r="P258" s="229"/>
    </row>
    <row r="259" spans="1:16" s="190" customFormat="1" ht="21.75" customHeight="1">
      <c r="A259" s="390"/>
      <c r="B259" s="384"/>
      <c r="C259" s="335" t="s">
        <v>107</v>
      </c>
      <c r="D259" s="336">
        <v>7500</v>
      </c>
      <c r="E259" s="200">
        <v>7500</v>
      </c>
      <c r="F259" s="221">
        <f>D259-E259</f>
        <v>0</v>
      </c>
      <c r="G259" s="192" t="s">
        <v>14</v>
      </c>
      <c r="H259" s="229"/>
      <c r="I259" s="229"/>
      <c r="J259" s="229"/>
      <c r="K259" s="229"/>
      <c r="L259" s="229"/>
      <c r="M259" s="229"/>
      <c r="N259" s="229"/>
      <c r="O259" s="229"/>
      <c r="P259" s="229"/>
    </row>
    <row r="260" spans="1:16" s="190" customFormat="1" ht="25.5">
      <c r="A260" s="390"/>
      <c r="B260" s="384"/>
      <c r="C260" s="334" t="s">
        <v>338</v>
      </c>
      <c r="D260" s="284">
        <v>10000</v>
      </c>
      <c r="E260" s="201"/>
      <c r="F260" s="221">
        <f>D260-E260</f>
        <v>10000</v>
      </c>
      <c r="G260" s="192" t="s">
        <v>364</v>
      </c>
      <c r="H260" s="229"/>
      <c r="I260" s="229"/>
      <c r="J260" s="229"/>
      <c r="K260" s="229"/>
      <c r="L260" s="229"/>
      <c r="M260" s="229"/>
      <c r="N260" s="229"/>
      <c r="O260" s="229"/>
      <c r="P260" s="229"/>
    </row>
    <row r="261" spans="1:16" s="190" customFormat="1" ht="12.75">
      <c r="A261" s="391"/>
      <c r="B261" s="385"/>
      <c r="C261" s="280" t="s">
        <v>287</v>
      </c>
      <c r="D261" s="291">
        <v>1500</v>
      </c>
      <c r="E261" s="200">
        <f>0.5+0.31+1341.14+531.89</f>
        <v>1873.8400000000001</v>
      </c>
      <c r="F261" s="221">
        <f>D261-E261</f>
        <v>-373.84000000000015</v>
      </c>
      <c r="G261" s="237" t="s">
        <v>258</v>
      </c>
      <c r="H261" s="229"/>
      <c r="I261" s="229"/>
      <c r="J261" s="229"/>
      <c r="K261" s="229"/>
      <c r="L261" s="229"/>
      <c r="M261" s="229"/>
      <c r="N261" s="229"/>
      <c r="O261" s="229"/>
      <c r="P261" s="229"/>
    </row>
    <row r="262" spans="1:16" s="190" customFormat="1" ht="12.75">
      <c r="A262" s="193"/>
      <c r="B262" s="301" t="s">
        <v>9</v>
      </c>
      <c r="C262" s="239"/>
      <c r="D262" s="216">
        <f>SUM(D257:D261)</f>
        <v>60811</v>
      </c>
      <c r="E262" s="216">
        <f>SUM(E257:E261)</f>
        <v>53073.31</v>
      </c>
      <c r="F262" s="216">
        <f>SUM(F257:F261)</f>
        <v>7737.689999999999</v>
      </c>
      <c r="G262" s="237"/>
      <c r="H262" s="229"/>
      <c r="I262" s="229"/>
      <c r="J262" s="229"/>
      <c r="K262" s="229"/>
      <c r="L262" s="229"/>
      <c r="M262" s="229"/>
      <c r="N262" s="229"/>
      <c r="O262" s="229"/>
      <c r="P262" s="229"/>
    </row>
    <row r="263" spans="1:16" s="190" customFormat="1" ht="21.75" customHeight="1">
      <c r="A263" s="389">
        <v>68</v>
      </c>
      <c r="B263" s="383" t="s">
        <v>240</v>
      </c>
      <c r="C263" s="334" t="s">
        <v>339</v>
      </c>
      <c r="D263" s="284">
        <v>120000</v>
      </c>
      <c r="E263" s="220">
        <v>120000</v>
      </c>
      <c r="F263" s="221">
        <f>D263-E263</f>
        <v>0</v>
      </c>
      <c r="G263" s="192" t="s">
        <v>14</v>
      </c>
      <c r="H263" s="229"/>
      <c r="I263" s="229"/>
      <c r="J263" s="229"/>
      <c r="K263" s="229"/>
      <c r="L263" s="229"/>
      <c r="M263" s="229"/>
      <c r="N263" s="229"/>
      <c r="O263" s="229"/>
      <c r="P263" s="229"/>
    </row>
    <row r="264" spans="1:16" s="190" customFormat="1" ht="25.5">
      <c r="A264" s="390"/>
      <c r="B264" s="384"/>
      <c r="C264" s="334" t="s">
        <v>340</v>
      </c>
      <c r="D264" s="284">
        <v>4920</v>
      </c>
      <c r="E264" s="218">
        <f>3927.18+807.17</f>
        <v>4734.349999999999</v>
      </c>
      <c r="F264" s="221">
        <f>D264-E264</f>
        <v>185.65000000000055</v>
      </c>
      <c r="G264" s="237" t="s">
        <v>258</v>
      </c>
      <c r="H264" s="229"/>
      <c r="I264" s="229"/>
      <c r="J264" s="229"/>
      <c r="K264" s="229"/>
      <c r="L264" s="229"/>
      <c r="M264" s="229"/>
      <c r="N264" s="229"/>
      <c r="O264" s="229"/>
      <c r="P264" s="229"/>
    </row>
    <row r="265" spans="1:16" s="190" customFormat="1" ht="12.75">
      <c r="A265" s="391"/>
      <c r="B265" s="385"/>
      <c r="C265" s="280" t="s">
        <v>287</v>
      </c>
      <c r="D265" s="291">
        <v>1350</v>
      </c>
      <c r="E265" s="218">
        <f>0.39+0.07+1119.92+209.25</f>
        <v>1329.63</v>
      </c>
      <c r="F265" s="221">
        <f>D265-E265</f>
        <v>20.36999999999989</v>
      </c>
      <c r="G265" s="237" t="s">
        <v>258</v>
      </c>
      <c r="H265" s="229"/>
      <c r="I265" s="229"/>
      <c r="J265" s="229"/>
      <c r="K265" s="229"/>
      <c r="L265" s="229"/>
      <c r="M265" s="229"/>
      <c r="N265" s="229"/>
      <c r="O265" s="229"/>
      <c r="P265" s="229"/>
    </row>
    <row r="266" spans="1:16" s="190" customFormat="1" ht="12.75" customHeight="1">
      <c r="A266" s="193"/>
      <c r="B266" s="301" t="s">
        <v>9</v>
      </c>
      <c r="C266" s="239"/>
      <c r="D266" s="216">
        <f>SUM(D263:D265)</f>
        <v>126270</v>
      </c>
      <c r="E266" s="216">
        <f>SUM(E263:E265)</f>
        <v>126063.98000000001</v>
      </c>
      <c r="F266" s="216">
        <f>SUM(F263:F265)</f>
        <v>206.02000000000044</v>
      </c>
      <c r="G266" s="237"/>
      <c r="H266" s="229"/>
      <c r="I266" s="229"/>
      <c r="J266" s="229"/>
      <c r="K266" s="229"/>
      <c r="L266" s="229"/>
      <c r="M266" s="229"/>
      <c r="N266" s="229"/>
      <c r="O266" s="229"/>
      <c r="P266" s="229"/>
    </row>
    <row r="267" spans="1:16" s="190" customFormat="1" ht="29.25" customHeight="1">
      <c r="A267" s="389">
        <v>69</v>
      </c>
      <c r="B267" s="383" t="s">
        <v>279</v>
      </c>
      <c r="C267" s="280" t="s">
        <v>341</v>
      </c>
      <c r="D267" s="291">
        <v>10440.28</v>
      </c>
      <c r="E267" s="201">
        <f>9614.04*1.08+48.07*1.23+9.61+2.82</f>
        <v>10454.7193</v>
      </c>
      <c r="F267" s="221">
        <f>D267-E267</f>
        <v>-14.439300000000003</v>
      </c>
      <c r="G267" s="237" t="s">
        <v>258</v>
      </c>
      <c r="H267" s="229"/>
      <c r="I267" s="229"/>
      <c r="J267" s="229"/>
      <c r="K267" s="229"/>
      <c r="L267" s="229"/>
      <c r="M267" s="229"/>
      <c r="N267" s="229"/>
      <c r="O267" s="229"/>
      <c r="P267" s="229"/>
    </row>
    <row r="268" spans="1:16" s="190" customFormat="1" ht="29.25" customHeight="1">
      <c r="A268" s="390"/>
      <c r="B268" s="384"/>
      <c r="C268" s="335" t="s">
        <v>342</v>
      </c>
      <c r="D268" s="336">
        <v>3746.07</v>
      </c>
      <c r="E268" s="212">
        <f>2832.3+727.76</f>
        <v>3560.0600000000004</v>
      </c>
      <c r="F268" s="221">
        <f>D268-E268</f>
        <v>186.00999999999976</v>
      </c>
      <c r="G268" s="237" t="s">
        <v>258</v>
      </c>
      <c r="H268" s="229"/>
      <c r="I268" s="229"/>
      <c r="J268" s="229"/>
      <c r="K268" s="229"/>
      <c r="L268" s="229"/>
      <c r="M268" s="229"/>
      <c r="N268" s="229"/>
      <c r="O268" s="229"/>
      <c r="P268" s="229"/>
    </row>
    <row r="269" spans="1:16" s="190" customFormat="1" ht="25.5">
      <c r="A269" s="390"/>
      <c r="B269" s="384"/>
      <c r="C269" s="280" t="s">
        <v>343</v>
      </c>
      <c r="D269" s="291">
        <v>20000</v>
      </c>
      <c r="E269" s="201">
        <f>8.73+2.57+12449.05*1.08+76.56</f>
        <v>13532.833999999999</v>
      </c>
      <c r="F269" s="221">
        <f>D269-E269</f>
        <v>6467.166000000001</v>
      </c>
      <c r="G269" s="237" t="s">
        <v>258</v>
      </c>
      <c r="H269" s="229"/>
      <c r="I269" s="229"/>
      <c r="J269" s="229"/>
      <c r="K269" s="229"/>
      <c r="L269" s="229"/>
      <c r="M269" s="229"/>
      <c r="N269" s="229"/>
      <c r="O269" s="229"/>
      <c r="P269" s="229"/>
    </row>
    <row r="270" spans="1:16" s="190" customFormat="1" ht="12.75">
      <c r="A270" s="390"/>
      <c r="B270" s="384"/>
      <c r="C270" s="280" t="s">
        <v>287</v>
      </c>
      <c r="D270" s="291">
        <v>8100</v>
      </c>
      <c r="E270" s="212">
        <f>0.88+0.26+3866.27+948.543</f>
        <v>4815.9529999999995</v>
      </c>
      <c r="F270" s="221">
        <f>D270-E270</f>
        <v>3284.0470000000005</v>
      </c>
      <c r="G270" s="237" t="s">
        <v>258</v>
      </c>
      <c r="H270" s="229"/>
      <c r="I270" s="229"/>
      <c r="J270" s="229"/>
      <c r="K270" s="229"/>
      <c r="L270" s="229"/>
      <c r="M270" s="229"/>
      <c r="N270" s="229"/>
      <c r="O270" s="229"/>
      <c r="P270" s="229"/>
    </row>
    <row r="271" spans="1:16" s="190" customFormat="1" ht="25.5">
      <c r="A271" s="391"/>
      <c r="B271" s="385"/>
      <c r="C271" s="280" t="s">
        <v>344</v>
      </c>
      <c r="D271" s="291">
        <v>2742.9</v>
      </c>
      <c r="E271" s="212">
        <f>1827.31+208.85+535.53</f>
        <v>2571.6899999999996</v>
      </c>
      <c r="F271" s="221">
        <f>D271-E271</f>
        <v>171.2100000000005</v>
      </c>
      <c r="G271" s="237" t="s">
        <v>258</v>
      </c>
      <c r="H271" s="229"/>
      <c r="I271" s="229"/>
      <c r="J271" s="229"/>
      <c r="K271" s="229"/>
      <c r="L271" s="229"/>
      <c r="M271" s="229"/>
      <c r="N271" s="229"/>
      <c r="O271" s="229"/>
      <c r="P271" s="229"/>
    </row>
    <row r="272" spans="1:16" s="190" customFormat="1" ht="12.75">
      <c r="A272" s="193"/>
      <c r="B272" s="301" t="s">
        <v>9</v>
      </c>
      <c r="C272" s="194"/>
      <c r="D272" s="216">
        <f>SUM(D267:D271)-0.28</f>
        <v>45028.97</v>
      </c>
      <c r="E272" s="216">
        <f>SUM(E267:E271)</f>
        <v>34935.2563</v>
      </c>
      <c r="F272" s="216">
        <f>SUM(F267:F271)-0.28</f>
        <v>10093.713700000002</v>
      </c>
      <c r="G272" s="237"/>
      <c r="H272" s="229"/>
      <c r="I272" s="229"/>
      <c r="J272" s="229"/>
      <c r="K272" s="229"/>
      <c r="L272" s="229"/>
      <c r="M272" s="229"/>
      <c r="N272" s="229"/>
      <c r="O272" s="229"/>
      <c r="P272" s="229"/>
    </row>
    <row r="273" spans="1:16" s="190" customFormat="1" ht="12.75">
      <c r="A273" s="184">
        <v>70</v>
      </c>
      <c r="B273" s="325" t="s">
        <v>250</v>
      </c>
      <c r="C273" s="185" t="s">
        <v>347</v>
      </c>
      <c r="D273" s="243"/>
      <c r="E273" s="220">
        <f>3102.33*1.08</f>
        <v>3350.5164</v>
      </c>
      <c r="F273" s="221">
        <f>D273-E273</f>
        <v>-3350.5164</v>
      </c>
      <c r="G273" s="237" t="s">
        <v>258</v>
      </c>
      <c r="H273" s="229"/>
      <c r="I273" s="229"/>
      <c r="J273" s="229"/>
      <c r="K273" s="229"/>
      <c r="L273" s="229"/>
      <c r="M273" s="229"/>
      <c r="N273" s="229"/>
      <c r="O273" s="229"/>
      <c r="P273" s="229"/>
    </row>
    <row r="274" spans="1:16" s="190" customFormat="1" ht="12.75">
      <c r="A274" s="193"/>
      <c r="B274" s="301" t="s">
        <v>9</v>
      </c>
      <c r="C274" s="239"/>
      <c r="D274" s="216">
        <f>SUM(D273:D273)</f>
        <v>0</v>
      </c>
      <c r="E274" s="217">
        <f>SUM(E273:E273)</f>
        <v>3350.5164</v>
      </c>
      <c r="F274" s="216">
        <f>SUM(F273:F273)</f>
        <v>-3350.5164</v>
      </c>
      <c r="G274" s="237"/>
      <c r="H274" s="229"/>
      <c r="I274" s="229"/>
      <c r="J274" s="229"/>
      <c r="K274" s="229"/>
      <c r="L274" s="229"/>
      <c r="M274" s="229"/>
      <c r="N274" s="229"/>
      <c r="O274" s="229"/>
      <c r="P274" s="229"/>
    </row>
    <row r="275" spans="1:16" s="190" customFormat="1" ht="12.75">
      <c r="A275" s="389">
        <v>71</v>
      </c>
      <c r="B275" s="383" t="s">
        <v>253</v>
      </c>
      <c r="C275" s="335" t="s">
        <v>304</v>
      </c>
      <c r="D275" s="337">
        <v>400</v>
      </c>
      <c r="E275" s="244">
        <f>455.1</f>
        <v>455.1</v>
      </c>
      <c r="F275" s="221">
        <f>D275-E275</f>
        <v>-55.10000000000002</v>
      </c>
      <c r="G275" s="237" t="s">
        <v>258</v>
      </c>
      <c r="H275" s="229"/>
      <c r="I275" s="229"/>
      <c r="J275" s="229"/>
      <c r="K275" s="229"/>
      <c r="L275" s="229"/>
      <c r="M275" s="229"/>
      <c r="N275" s="229"/>
      <c r="O275" s="229"/>
      <c r="P275" s="229"/>
    </row>
    <row r="276" spans="1:16" s="190" customFormat="1" ht="12.75">
      <c r="A276" s="390"/>
      <c r="B276" s="384"/>
      <c r="C276" s="335" t="s">
        <v>320</v>
      </c>
      <c r="D276" s="337"/>
      <c r="E276" s="244">
        <f>39.33</f>
        <v>39.33</v>
      </c>
      <c r="F276" s="221">
        <f>D276-E276</f>
        <v>-39.33</v>
      </c>
      <c r="G276" s="237" t="s">
        <v>258</v>
      </c>
      <c r="H276" s="229"/>
      <c r="I276" s="229"/>
      <c r="J276" s="229"/>
      <c r="K276" s="229"/>
      <c r="L276" s="229"/>
      <c r="M276" s="229"/>
      <c r="N276" s="229"/>
      <c r="O276" s="229"/>
      <c r="P276" s="229"/>
    </row>
    <row r="277" spans="1:16" s="190" customFormat="1" ht="12.75">
      <c r="A277" s="390"/>
      <c r="B277" s="384"/>
      <c r="C277" s="280" t="s">
        <v>334</v>
      </c>
      <c r="D277" s="338">
        <v>400</v>
      </c>
      <c r="E277" s="244">
        <f>397.29</f>
        <v>397.29</v>
      </c>
      <c r="F277" s="221">
        <f>D277-E277</f>
        <v>2.7099999999999795</v>
      </c>
      <c r="G277" s="237" t="s">
        <v>258</v>
      </c>
      <c r="H277" s="229"/>
      <c r="I277" s="229"/>
      <c r="J277" s="229"/>
      <c r="K277" s="229"/>
      <c r="L277" s="229"/>
      <c r="M277" s="229"/>
      <c r="N277" s="229"/>
      <c r="O277" s="229"/>
      <c r="P277" s="229"/>
    </row>
    <row r="278" spans="1:16" s="190" customFormat="1" ht="12.75">
      <c r="A278" s="193"/>
      <c r="B278" s="301" t="s">
        <v>9</v>
      </c>
      <c r="C278" s="239"/>
      <c r="D278" s="216">
        <f>SUM(D275:D277)</f>
        <v>800</v>
      </c>
      <c r="E278" s="217">
        <f>SUM(E275:E277)</f>
        <v>891.72</v>
      </c>
      <c r="F278" s="216">
        <f>SUM(F275:F277)</f>
        <v>-91.72000000000004</v>
      </c>
      <c r="G278" s="317"/>
      <c r="H278" s="229"/>
      <c r="I278" s="229"/>
      <c r="J278" s="229"/>
      <c r="K278" s="229"/>
      <c r="L278" s="229"/>
      <c r="M278" s="229"/>
      <c r="N278" s="229"/>
      <c r="O278" s="229"/>
      <c r="P278" s="229"/>
    </row>
    <row r="279" spans="1:16" s="190" customFormat="1" ht="12.75">
      <c r="A279" s="197">
        <v>72</v>
      </c>
      <c r="B279" s="324" t="s">
        <v>261</v>
      </c>
      <c r="C279" s="280" t="s">
        <v>287</v>
      </c>
      <c r="D279" s="291">
        <v>2650</v>
      </c>
      <c r="E279" s="212">
        <f>0.79+2151.22</f>
        <v>2152.0099999999998</v>
      </c>
      <c r="F279" s="221">
        <f>D279-E279</f>
        <v>497.99000000000024</v>
      </c>
      <c r="G279" s="237" t="s">
        <v>258</v>
      </c>
      <c r="H279" s="229"/>
      <c r="I279" s="229"/>
      <c r="J279" s="229"/>
      <c r="K279" s="229"/>
      <c r="L279" s="229"/>
      <c r="M279" s="229"/>
      <c r="N279" s="229"/>
      <c r="O279" s="229"/>
      <c r="P279" s="229"/>
    </row>
    <row r="280" spans="1:16" s="190" customFormat="1" ht="12.75">
      <c r="A280" s="193"/>
      <c r="B280" s="301" t="s">
        <v>9</v>
      </c>
      <c r="C280" s="215"/>
      <c r="D280" s="216">
        <f>SUM(D279:D279)</f>
        <v>2650</v>
      </c>
      <c r="E280" s="216">
        <f>SUM(E279:E279)</f>
        <v>2152.0099999999998</v>
      </c>
      <c r="F280" s="216">
        <f>SUM(F279:F279)</f>
        <v>497.99000000000024</v>
      </c>
      <c r="G280" s="316"/>
      <c r="H280" s="229"/>
      <c r="I280" s="229"/>
      <c r="J280" s="229"/>
      <c r="K280" s="229"/>
      <c r="L280" s="229"/>
      <c r="M280" s="229"/>
      <c r="N280" s="229"/>
      <c r="O280" s="229"/>
      <c r="P280" s="229"/>
    </row>
    <row r="281" spans="1:16" s="190" customFormat="1" ht="12.75">
      <c r="A281" s="193"/>
      <c r="B281" s="303" t="s">
        <v>272</v>
      </c>
      <c r="C281" s="245"/>
      <c r="D281" s="246">
        <f>D10+D15+D21+D27+D31+D35+D37+D40+D43+D46+D49+D51+D55+D59+D63+D67+D71+D74+D77+D81+D85+D89+D92+D95+D98+D100+D102+D104+D110+D113+D116+D121+D124+D128+D131+D133+D137+D140+D143+D147+D149+D152+D155+D159+D163+D167+D174+D180+D187+D192+D198+D206+D209+D213+D219+D221+D224+D228+D231+D234+D238+D241+D244+D247+D253+D256+D262+D266+D272+D274+D278+D280</f>
        <v>2755480.920113</v>
      </c>
      <c r="E281" s="246">
        <f>E10+E15+E21+E27+E31+E35+E37+E40+E43+E46+E49+E51+E55+E59+E63+E67+E71+E74+E77+E81+E85+E89+E92+E95+E98+E100+E102+E104+E110+E113+E116+E121+E124+E128+E131+E133+E137+E140+E143+E147+E149+E152+E155+E159+E163+E167+E174+E180+E187+E192+E198+E206+E209+E213+E219+E221+E224+E228+E231+E234+E238+E241+E244+E247+E253+E256+E262+E266+E272+E274+E278+E280</f>
        <v>2816603.919147</v>
      </c>
      <c r="F281" s="246">
        <f>D281-E281</f>
        <v>-61122.999034000095</v>
      </c>
      <c r="G281" s="315"/>
      <c r="H281" s="229"/>
      <c r="I281" s="229"/>
      <c r="J281" s="229"/>
      <c r="K281" s="229"/>
      <c r="L281" s="229"/>
      <c r="M281" s="229"/>
      <c r="N281" s="229"/>
      <c r="O281" s="229"/>
      <c r="P281" s="229"/>
    </row>
    <row r="282" spans="1:16" s="190" customFormat="1" ht="12.75">
      <c r="A282" s="193"/>
      <c r="B282" s="304" t="s">
        <v>274</v>
      </c>
      <c r="C282" s="247"/>
      <c r="D282" s="248"/>
      <c r="E282" s="249"/>
      <c r="F282" s="248"/>
      <c r="G282" s="318"/>
      <c r="H282" s="229"/>
      <c r="I282" s="229"/>
      <c r="J282" s="229"/>
      <c r="K282" s="229"/>
      <c r="L282" s="229"/>
      <c r="M282" s="229"/>
      <c r="N282" s="229"/>
      <c r="O282" s="229"/>
      <c r="P282" s="229"/>
    </row>
    <row r="283" spans="1:16" s="190" customFormat="1" ht="12.75">
      <c r="A283" s="229"/>
      <c r="B283" s="305"/>
      <c r="C283" s="250"/>
      <c r="D283" s="251">
        <v>2755480.5837375</v>
      </c>
      <c r="E283" s="252">
        <v>2755479.52</v>
      </c>
      <c r="F283" s="251">
        <f>D283-E283</f>
        <v>1.0637374999932945</v>
      </c>
      <c r="G283" s="319"/>
      <c r="H283" s="229"/>
      <c r="I283" s="229"/>
      <c r="J283" s="229"/>
      <c r="K283" s="229"/>
      <c r="L283" s="229"/>
      <c r="M283" s="229"/>
      <c r="N283" s="229"/>
      <c r="O283" s="229"/>
      <c r="P283" s="229"/>
    </row>
    <row r="284" spans="1:16" s="190" customFormat="1" ht="12.75">
      <c r="A284" s="229"/>
      <c r="B284" s="305"/>
      <c r="C284" s="250"/>
      <c r="D284" s="251">
        <f>D283-D281</f>
        <v>-0.3363755000755191</v>
      </c>
      <c r="E284" s="252">
        <f>E283-D281</f>
        <v>-1.4001130000688136</v>
      </c>
      <c r="F284" s="253"/>
      <c r="G284" s="319"/>
      <c r="H284" s="229"/>
      <c r="I284" s="229"/>
      <c r="J284" s="229"/>
      <c r="K284" s="229"/>
      <c r="L284" s="229"/>
      <c r="M284" s="229"/>
      <c r="N284" s="229"/>
      <c r="O284" s="229"/>
      <c r="P284" s="229"/>
    </row>
    <row r="285" spans="1:16" s="190" customFormat="1" ht="40.5" customHeight="1">
      <c r="A285" s="398" t="s">
        <v>355</v>
      </c>
      <c r="B285" s="398"/>
      <c r="C285" s="398"/>
      <c r="D285" s="398"/>
      <c r="E285" s="398"/>
      <c r="F285" s="398"/>
      <c r="G285" s="398"/>
      <c r="H285" s="229"/>
      <c r="I285" s="229"/>
      <c r="J285" s="229"/>
      <c r="K285" s="229"/>
      <c r="L285" s="229"/>
      <c r="M285" s="229"/>
      <c r="N285" s="229"/>
      <c r="O285" s="229"/>
      <c r="P285" s="229"/>
    </row>
    <row r="286" spans="1:16" s="190" customFormat="1" ht="24.75" customHeight="1">
      <c r="A286" s="231" t="s">
        <v>0</v>
      </c>
      <c r="B286" s="206" t="s">
        <v>1</v>
      </c>
      <c r="C286" s="184" t="s">
        <v>8</v>
      </c>
      <c r="D286" s="254" t="s">
        <v>270</v>
      </c>
      <c r="E286" s="203" t="s">
        <v>3</v>
      </c>
      <c r="F286" s="255" t="s">
        <v>6</v>
      </c>
      <c r="G286" s="287" t="s">
        <v>275</v>
      </c>
      <c r="H286" s="229"/>
      <c r="I286" s="229"/>
      <c r="J286" s="229"/>
      <c r="K286" s="229"/>
      <c r="L286" s="229"/>
      <c r="M286" s="229"/>
      <c r="N286" s="229"/>
      <c r="O286" s="229"/>
      <c r="P286" s="229"/>
    </row>
    <row r="287" spans="1:16" s="190" customFormat="1" ht="12.75">
      <c r="A287" s="389">
        <v>1</v>
      </c>
      <c r="B287" s="306" t="s">
        <v>118</v>
      </c>
      <c r="C287" s="280" t="s">
        <v>287</v>
      </c>
      <c r="D287" s="256"/>
      <c r="E287" s="257">
        <v>141.99</v>
      </c>
      <c r="F287" s="257">
        <f>D287-E287</f>
        <v>-141.99</v>
      </c>
      <c r="G287" s="320"/>
      <c r="H287" s="229"/>
      <c r="I287" s="229"/>
      <c r="J287" s="229"/>
      <c r="K287" s="229"/>
      <c r="L287" s="229"/>
      <c r="M287" s="229"/>
      <c r="N287" s="229"/>
      <c r="O287" s="229"/>
      <c r="P287" s="229"/>
    </row>
    <row r="288" spans="1:16" s="190" customFormat="1" ht="14.25" customHeight="1">
      <c r="A288" s="391"/>
      <c r="B288" s="301" t="s">
        <v>9</v>
      </c>
      <c r="C288" s="258"/>
      <c r="D288" s="216">
        <f>SUM(D287:D287)</f>
        <v>0</v>
      </c>
      <c r="E288" s="217">
        <f>SUM(E287:E287)</f>
        <v>141.99</v>
      </c>
      <c r="F288" s="259">
        <f>SUM(F287:F287)</f>
        <v>-141.99</v>
      </c>
      <c r="G288" s="321"/>
      <c r="H288" s="229"/>
      <c r="I288" s="229"/>
      <c r="J288" s="229"/>
      <c r="K288" s="229"/>
      <c r="L288" s="229"/>
      <c r="M288" s="229"/>
      <c r="N288" s="229"/>
      <c r="O288" s="229"/>
      <c r="P288" s="229"/>
    </row>
    <row r="289" spans="1:16" s="190" customFormat="1" ht="12.75">
      <c r="A289" s="389">
        <v>2</v>
      </c>
      <c r="B289" s="306" t="s">
        <v>121</v>
      </c>
      <c r="C289" s="280" t="s">
        <v>287</v>
      </c>
      <c r="E289" s="190">
        <v>21.03</v>
      </c>
      <c r="F289" s="261">
        <f>D289-E289</f>
        <v>-21.03</v>
      </c>
      <c r="G289" s="321"/>
      <c r="H289" s="229"/>
      <c r="I289" s="229"/>
      <c r="J289" s="229"/>
      <c r="K289" s="229"/>
      <c r="L289" s="229"/>
      <c r="M289" s="229"/>
      <c r="N289" s="229"/>
      <c r="O289" s="229"/>
      <c r="P289" s="229"/>
    </row>
    <row r="290" spans="1:16" s="190" customFormat="1" ht="14.25" customHeight="1">
      <c r="A290" s="391"/>
      <c r="B290" s="301" t="s">
        <v>9</v>
      </c>
      <c r="C290" s="258"/>
      <c r="D290" s="217">
        <f>SUM(D291)</f>
        <v>0</v>
      </c>
      <c r="E290" s="217">
        <f>SUM(E291)</f>
        <v>787.04</v>
      </c>
      <c r="F290" s="217">
        <f>SUM(F289)</f>
        <v>-21.03</v>
      </c>
      <c r="G290" s="321"/>
      <c r="H290" s="229"/>
      <c r="I290" s="229"/>
      <c r="J290" s="229"/>
      <c r="K290" s="229"/>
      <c r="L290" s="229"/>
      <c r="M290" s="229"/>
      <c r="N290" s="229"/>
      <c r="O290" s="229"/>
      <c r="P290" s="229"/>
    </row>
    <row r="291" spans="1:16" s="190" customFormat="1" ht="27.75" customHeight="1">
      <c r="A291" s="389">
        <v>3</v>
      </c>
      <c r="B291" s="206" t="s">
        <v>104</v>
      </c>
      <c r="C291" s="280" t="s">
        <v>287</v>
      </c>
      <c r="D291" s="260"/>
      <c r="E291" s="220">
        <f>787.04</f>
        <v>787.04</v>
      </c>
      <c r="F291" s="262">
        <f>D291-E291</f>
        <v>-787.04</v>
      </c>
      <c r="G291" s="287"/>
      <c r="H291" s="229"/>
      <c r="I291" s="229"/>
      <c r="J291" s="229"/>
      <c r="K291" s="229"/>
      <c r="L291" s="229"/>
      <c r="M291" s="229"/>
      <c r="N291" s="229"/>
      <c r="O291" s="229"/>
      <c r="P291" s="229"/>
    </row>
    <row r="292" spans="1:16" s="190" customFormat="1" ht="15" customHeight="1">
      <c r="A292" s="390"/>
      <c r="B292" s="301" t="s">
        <v>9</v>
      </c>
      <c r="C292" s="232"/>
      <c r="D292" s="216">
        <f>SUM(D291)</f>
        <v>0</v>
      </c>
      <c r="E292" s="216">
        <f>SUM(E291)</f>
        <v>787.04</v>
      </c>
      <c r="F292" s="216">
        <f>SUM(F291)</f>
        <v>-787.04</v>
      </c>
      <c r="G292" s="321"/>
      <c r="H292" s="229"/>
      <c r="I292" s="229"/>
      <c r="J292" s="229"/>
      <c r="K292" s="229"/>
      <c r="L292" s="229"/>
      <c r="M292" s="229"/>
      <c r="N292" s="229"/>
      <c r="O292" s="229"/>
      <c r="P292" s="229"/>
    </row>
    <row r="293" spans="1:16" s="190" customFormat="1" ht="12.75">
      <c r="A293" s="391"/>
      <c r="B293" s="307" t="s">
        <v>272</v>
      </c>
      <c r="C293" s="245"/>
      <c r="D293" s="246">
        <f>D288+D292</f>
        <v>0</v>
      </c>
      <c r="E293" s="263">
        <f>E288+E292+E290</f>
        <v>1716.07</v>
      </c>
      <c r="F293" s="264">
        <f>F288+F290+F292</f>
        <v>-950.06</v>
      </c>
      <c r="G293" s="315"/>
      <c r="H293" s="229"/>
      <c r="I293" s="229"/>
      <c r="J293" s="229"/>
      <c r="K293" s="229"/>
      <c r="L293" s="229"/>
      <c r="M293" s="229"/>
      <c r="N293" s="229"/>
      <c r="O293" s="229"/>
      <c r="P293" s="229"/>
    </row>
    <row r="294" spans="1:16" s="190" customFormat="1" ht="12.75">
      <c r="A294" s="229"/>
      <c r="B294" s="308"/>
      <c r="C294" s="265"/>
      <c r="D294" s="266"/>
      <c r="E294" s="267"/>
      <c r="F294" s="266"/>
      <c r="G294" s="287"/>
      <c r="H294" s="229"/>
      <c r="I294" s="229"/>
      <c r="J294" s="229"/>
      <c r="K294" s="229"/>
      <c r="L294" s="229"/>
      <c r="M294" s="229"/>
      <c r="N294" s="229"/>
      <c r="O294" s="229"/>
      <c r="P294" s="229"/>
    </row>
    <row r="295" spans="1:16" s="190" customFormat="1" ht="12.75">
      <c r="A295" s="229"/>
      <c r="B295" s="309" t="s">
        <v>276</v>
      </c>
      <c r="C295" s="268"/>
      <c r="D295" s="269">
        <f>D281+D293</f>
        <v>2755480.920113</v>
      </c>
      <c r="E295" s="270">
        <f>E281+E293</f>
        <v>2818319.989147</v>
      </c>
      <c r="F295" s="271">
        <f>F281+F293</f>
        <v>-62073.05903400009</v>
      </c>
      <c r="G295" s="315"/>
      <c r="H295" s="229"/>
      <c r="I295" s="229"/>
      <c r="J295" s="229"/>
      <c r="K295" s="229"/>
      <c r="L295" s="229"/>
      <c r="M295" s="229"/>
      <c r="N295" s="229"/>
      <c r="O295" s="229"/>
      <c r="P295" s="229"/>
    </row>
    <row r="296" spans="2:16" s="190" customFormat="1" ht="12.75">
      <c r="B296" s="308"/>
      <c r="C296" s="265"/>
      <c r="D296" s="266"/>
      <c r="E296" s="267"/>
      <c r="F296" s="266"/>
      <c r="G296" s="318"/>
      <c r="H296" s="229"/>
      <c r="I296" s="229"/>
      <c r="J296" s="229"/>
      <c r="K296" s="229"/>
      <c r="L296" s="229"/>
      <c r="M296" s="229"/>
      <c r="N296" s="229"/>
      <c r="O296" s="229"/>
      <c r="P296" s="229"/>
    </row>
    <row r="297" spans="2:16" s="190" customFormat="1" ht="12.75">
      <c r="B297" s="308"/>
      <c r="C297" s="265"/>
      <c r="D297" s="266"/>
      <c r="E297" s="267"/>
      <c r="F297" s="266"/>
      <c r="G297" s="322"/>
      <c r="H297" s="229"/>
      <c r="I297" s="229"/>
      <c r="J297" s="229"/>
      <c r="K297" s="229"/>
      <c r="L297" s="229"/>
      <c r="M297" s="229"/>
      <c r="N297" s="229"/>
      <c r="O297" s="229"/>
      <c r="P297" s="229"/>
    </row>
    <row r="298" spans="2:16" s="190" customFormat="1" ht="12.75">
      <c r="B298" s="308"/>
      <c r="C298" s="265"/>
      <c r="D298" s="266"/>
      <c r="E298" s="267"/>
      <c r="F298" s="266"/>
      <c r="G298" s="322"/>
      <c r="H298" s="229"/>
      <c r="I298" s="229"/>
      <c r="J298" s="229"/>
      <c r="K298" s="229"/>
      <c r="L298" s="229"/>
      <c r="M298" s="229"/>
      <c r="N298" s="229"/>
      <c r="O298" s="229"/>
      <c r="P298" s="229"/>
    </row>
    <row r="299" spans="2:16" s="190" customFormat="1" ht="12.75">
      <c r="B299" s="308"/>
      <c r="C299" s="265"/>
      <c r="D299" s="272">
        <v>2422963.13</v>
      </c>
      <c r="E299" s="273">
        <f>682748.44-1772.49</f>
        <v>680975.95</v>
      </c>
      <c r="F299" s="266"/>
      <c r="G299" s="322"/>
      <c r="H299" s="229"/>
      <c r="I299" s="229"/>
      <c r="J299" s="229"/>
      <c r="K299" s="229"/>
      <c r="L299" s="229"/>
      <c r="M299" s="229"/>
      <c r="N299" s="229"/>
      <c r="O299" s="229"/>
      <c r="P299" s="229"/>
    </row>
    <row r="300" spans="2:16" s="190" customFormat="1" ht="12.75">
      <c r="B300" s="308"/>
      <c r="C300" s="265"/>
      <c r="D300" s="272">
        <f>D281</f>
        <v>2755480.920113</v>
      </c>
      <c r="E300" s="273">
        <f>E295</f>
        <v>2818319.989147</v>
      </c>
      <c r="F300" s="266"/>
      <c r="G300" s="322"/>
      <c r="H300" s="229"/>
      <c r="I300" s="229"/>
      <c r="J300" s="229"/>
      <c r="K300" s="229"/>
      <c r="L300" s="229"/>
      <c r="M300" s="229"/>
      <c r="N300" s="229"/>
      <c r="O300" s="229"/>
      <c r="P300" s="229"/>
    </row>
    <row r="301" spans="2:16" s="190" customFormat="1" ht="12.75">
      <c r="B301" s="308"/>
      <c r="C301" s="265"/>
      <c r="D301" s="272">
        <f>D299-D300</f>
        <v>-332517.7901130002</v>
      </c>
      <c r="E301" s="273">
        <f>E299-E300</f>
        <v>-2137344.039147</v>
      </c>
      <c r="F301" s="266"/>
      <c r="G301" s="322"/>
      <c r="H301" s="229"/>
      <c r="I301" s="229"/>
      <c r="J301" s="229"/>
      <c r="K301" s="229"/>
      <c r="L301" s="229"/>
      <c r="M301" s="229"/>
      <c r="N301" s="229"/>
      <c r="O301" s="229"/>
      <c r="P301" s="229"/>
    </row>
    <row r="302" spans="2:16" s="190" customFormat="1" ht="12.75">
      <c r="B302" s="308"/>
      <c r="C302" s="265"/>
      <c r="D302" s="266"/>
      <c r="E302" s="267"/>
      <c r="F302" s="266"/>
      <c r="G302" s="322"/>
      <c r="H302" s="229"/>
      <c r="I302" s="229"/>
      <c r="J302" s="229"/>
      <c r="K302" s="229"/>
      <c r="L302" s="229"/>
      <c r="M302" s="229"/>
      <c r="N302" s="229"/>
      <c r="O302" s="229"/>
      <c r="P302" s="229"/>
    </row>
    <row r="303" spans="2:16" s="190" customFormat="1" ht="12.75">
      <c r="B303" s="308"/>
      <c r="D303" s="274"/>
      <c r="E303" s="275"/>
      <c r="F303" s="275"/>
      <c r="G303" s="322"/>
      <c r="H303" s="229"/>
      <c r="I303" s="229"/>
      <c r="J303" s="229"/>
      <c r="K303" s="229"/>
      <c r="L303" s="229"/>
      <c r="M303" s="229"/>
      <c r="N303" s="229"/>
      <c r="O303" s="229"/>
      <c r="P303" s="229"/>
    </row>
    <row r="304" spans="2:16" s="190" customFormat="1" ht="12.75">
      <c r="B304" s="308"/>
      <c r="D304" s="276"/>
      <c r="E304" s="275"/>
      <c r="F304" s="275"/>
      <c r="G304" s="322"/>
      <c r="H304" s="229"/>
      <c r="I304" s="229"/>
      <c r="J304" s="229"/>
      <c r="K304" s="229"/>
      <c r="L304" s="229"/>
      <c r="M304" s="229"/>
      <c r="N304" s="229"/>
      <c r="O304" s="229"/>
      <c r="P304" s="229"/>
    </row>
    <row r="305" spans="2:16" s="190" customFormat="1" ht="12.75">
      <c r="B305" s="308"/>
      <c r="D305" s="275"/>
      <c r="E305" s="275"/>
      <c r="F305" s="277"/>
      <c r="G305" s="322"/>
      <c r="H305" s="229"/>
      <c r="I305" s="229"/>
      <c r="J305" s="229"/>
      <c r="K305" s="229"/>
      <c r="L305" s="229"/>
      <c r="M305" s="229"/>
      <c r="N305" s="229"/>
      <c r="O305" s="229"/>
      <c r="P305" s="229"/>
    </row>
    <row r="306" spans="2:16" s="190" customFormat="1" ht="12.75">
      <c r="B306" s="308"/>
      <c r="D306" s="275"/>
      <c r="E306" s="275"/>
      <c r="F306" s="277"/>
      <c r="G306" s="322"/>
      <c r="H306" s="229"/>
      <c r="I306" s="229"/>
      <c r="J306" s="229"/>
      <c r="K306" s="229"/>
      <c r="L306" s="229"/>
      <c r="M306" s="229"/>
      <c r="N306" s="229"/>
      <c r="O306" s="229"/>
      <c r="P306" s="229"/>
    </row>
    <row r="307" spans="2:16" s="190" customFormat="1" ht="12.75">
      <c r="B307" s="308"/>
      <c r="C307" s="265"/>
      <c r="D307" s="266"/>
      <c r="E307" s="267"/>
      <c r="F307" s="266"/>
      <c r="G307" s="322"/>
      <c r="H307" s="229"/>
      <c r="I307" s="229"/>
      <c r="J307" s="229"/>
      <c r="K307" s="229"/>
      <c r="L307" s="229"/>
      <c r="M307" s="229"/>
      <c r="N307" s="229"/>
      <c r="O307" s="229"/>
      <c r="P307" s="229"/>
    </row>
    <row r="308" spans="2:16" s="190" customFormat="1" ht="12.75">
      <c r="B308" s="308"/>
      <c r="C308" s="265"/>
      <c r="D308" s="266"/>
      <c r="E308" s="267"/>
      <c r="F308" s="266"/>
      <c r="G308" s="322"/>
      <c r="H308" s="229"/>
      <c r="I308" s="229"/>
      <c r="J308" s="229"/>
      <c r="K308" s="229"/>
      <c r="L308" s="229"/>
      <c r="M308" s="229"/>
      <c r="N308" s="229"/>
      <c r="O308" s="229"/>
      <c r="P308" s="229"/>
    </row>
  </sheetData>
  <sheetProtection/>
  <mergeCells count="129">
    <mergeCell ref="A287:A288"/>
    <mergeCell ref="A289:A290"/>
    <mergeCell ref="A232:A233"/>
    <mergeCell ref="B232:B233"/>
    <mergeCell ref="A222:A223"/>
    <mergeCell ref="B222:B223"/>
    <mergeCell ref="A257:A261"/>
    <mergeCell ref="B257:B261"/>
    <mergeCell ref="A225:A227"/>
    <mergeCell ref="B225:B227"/>
    <mergeCell ref="A153:A154"/>
    <mergeCell ref="B153:B154"/>
    <mergeCell ref="A245:A246"/>
    <mergeCell ref="B245:B246"/>
    <mergeCell ref="B68:B70"/>
    <mergeCell ref="A68:A70"/>
    <mergeCell ref="A229:A230"/>
    <mergeCell ref="B229:B230"/>
    <mergeCell ref="A207:A208"/>
    <mergeCell ref="B207:B208"/>
    <mergeCell ref="A291:A293"/>
    <mergeCell ref="A285:G285"/>
    <mergeCell ref="A248:A252"/>
    <mergeCell ref="B248:B252"/>
    <mergeCell ref="A254:A255"/>
    <mergeCell ref="B254:B255"/>
    <mergeCell ref="A275:A277"/>
    <mergeCell ref="B275:B277"/>
    <mergeCell ref="A263:A265"/>
    <mergeCell ref="B263:B265"/>
    <mergeCell ref="A210:A212"/>
    <mergeCell ref="B210:B212"/>
    <mergeCell ref="A214:A218"/>
    <mergeCell ref="B214:B218"/>
    <mergeCell ref="A188:A191"/>
    <mergeCell ref="B188:B191"/>
    <mergeCell ref="A199:A205"/>
    <mergeCell ref="B199:B205"/>
    <mergeCell ref="B193:B197"/>
    <mergeCell ref="A193:A197"/>
    <mergeCell ref="A168:A173"/>
    <mergeCell ref="B168:B173"/>
    <mergeCell ref="A175:A179"/>
    <mergeCell ref="B175:B179"/>
    <mergeCell ref="A181:A186"/>
    <mergeCell ref="B181:B186"/>
    <mergeCell ref="A156:A158"/>
    <mergeCell ref="B156:B158"/>
    <mergeCell ref="A160:A162"/>
    <mergeCell ref="B160:B162"/>
    <mergeCell ref="A164:A166"/>
    <mergeCell ref="B164:B166"/>
    <mergeCell ref="A141:A142"/>
    <mergeCell ref="B141:B142"/>
    <mergeCell ref="A144:A146"/>
    <mergeCell ref="B144:B146"/>
    <mergeCell ref="A150:A151"/>
    <mergeCell ref="B150:B151"/>
    <mergeCell ref="A122:A123"/>
    <mergeCell ref="B122:B123"/>
    <mergeCell ref="A129:A130"/>
    <mergeCell ref="B129:B130"/>
    <mergeCell ref="A134:A136"/>
    <mergeCell ref="B134:B136"/>
    <mergeCell ref="A125:A127"/>
    <mergeCell ref="B125:B127"/>
    <mergeCell ref="A96:A97"/>
    <mergeCell ref="B96:B97"/>
    <mergeCell ref="A111:A112"/>
    <mergeCell ref="B111:B112"/>
    <mergeCell ref="A105:A109"/>
    <mergeCell ref="B105:B109"/>
    <mergeCell ref="A90:A91"/>
    <mergeCell ref="B90:B91"/>
    <mergeCell ref="B82:B84"/>
    <mergeCell ref="A82:A84"/>
    <mergeCell ref="A93:A94"/>
    <mergeCell ref="B93:B94"/>
    <mergeCell ref="A72:A73"/>
    <mergeCell ref="B72:B73"/>
    <mergeCell ref="B44:B45"/>
    <mergeCell ref="A44:A45"/>
    <mergeCell ref="B60:B62"/>
    <mergeCell ref="A60:A62"/>
    <mergeCell ref="B56:B58"/>
    <mergeCell ref="A56:A58"/>
    <mergeCell ref="B64:B66"/>
    <mergeCell ref="A64:A66"/>
    <mergeCell ref="A22:A26"/>
    <mergeCell ref="B22:B26"/>
    <mergeCell ref="A28:A30"/>
    <mergeCell ref="A38:A39"/>
    <mergeCell ref="B38:B39"/>
    <mergeCell ref="B28:B30"/>
    <mergeCell ref="B32:B34"/>
    <mergeCell ref="A32:A34"/>
    <mergeCell ref="A1:G1"/>
    <mergeCell ref="A5:A9"/>
    <mergeCell ref="B5:B9"/>
    <mergeCell ref="A11:A14"/>
    <mergeCell ref="B11:B14"/>
    <mergeCell ref="A16:A20"/>
    <mergeCell ref="B16:B20"/>
    <mergeCell ref="A235:A237"/>
    <mergeCell ref="B235:B237"/>
    <mergeCell ref="A239:A240"/>
    <mergeCell ref="B239:B240"/>
    <mergeCell ref="A242:A243"/>
    <mergeCell ref="B242:B243"/>
    <mergeCell ref="A267:A271"/>
    <mergeCell ref="B267:B271"/>
    <mergeCell ref="A41:A42"/>
    <mergeCell ref="B41:B42"/>
    <mergeCell ref="A47:A48"/>
    <mergeCell ref="B47:B48"/>
    <mergeCell ref="B52:B54"/>
    <mergeCell ref="A52:A54"/>
    <mergeCell ref="B75:B76"/>
    <mergeCell ref="B138:B139"/>
    <mergeCell ref="A138:A139"/>
    <mergeCell ref="A75:A76"/>
    <mergeCell ref="A114:A115"/>
    <mergeCell ref="B114:B115"/>
    <mergeCell ref="A117:A120"/>
    <mergeCell ref="B117:B120"/>
    <mergeCell ref="A78:A80"/>
    <mergeCell ref="B78:B80"/>
    <mergeCell ref="A86:A88"/>
    <mergeCell ref="B86:B88"/>
  </mergeCells>
  <printOptions/>
  <pageMargins left="0.984251968503937" right="0" top="0.7874015748031497" bottom="0.7874015748031497" header="0.5118110236220472" footer="0.5118110236220472"/>
  <pageSetup horizontalDpi="600" verticalDpi="600" orientation="portrait" pageOrder="overThenDown" paperSize="9" scale="79" r:id="rId3"/>
  <headerFooter alignWithMargins="0">
    <oddFooter>&amp;CStrona &amp;P z &amp;N</oddFooter>
  </headerFooter>
  <rowBreaks count="4" manualBreakCount="4">
    <brk id="46" max="6" man="1"/>
    <brk id="89" max="6" man="1"/>
    <brk id="124" max="6" man="1"/>
    <brk id="174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SM</cp:lastModifiedBy>
  <cp:lastPrinted>2023-06-23T11:30:03Z</cp:lastPrinted>
  <dcterms:created xsi:type="dcterms:W3CDTF">2012-05-09T10:10:26Z</dcterms:created>
  <dcterms:modified xsi:type="dcterms:W3CDTF">2023-06-30T07:40:05Z</dcterms:modified>
  <cp:category/>
  <cp:version/>
  <cp:contentType/>
  <cp:contentStatus/>
</cp:coreProperties>
</file>